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F:\tech_adv\Fan\Demo\EPA\CPRG\Narrative\Technical Appendices\"/>
    </mc:Choice>
  </mc:AlternateContent>
  <xr:revisionPtr revIDLastSave="0" documentId="13_ncr:1_{6D0235C2-4848-4407-8E34-5A5458640119}" xr6:coauthVersionLast="47" xr6:coauthVersionMax="47" xr10:uidLastSave="{00000000-0000-0000-0000-000000000000}"/>
  <bookViews>
    <workbookView xWindow="28680" yWindow="-90" windowWidth="29040" windowHeight="15840" tabRatio="1000" activeTab="2" xr2:uid="{00000000-000D-0000-FFFF-FFFF00000000}"/>
  </bookViews>
  <sheets>
    <sheet name="Summary of Emission Reductions" sheetId="1" r:id="rId1"/>
    <sheet name="Number of ZE Units" sheetId="17" r:id="rId2"/>
    <sheet name="Measure M1 - ZE Chargers" sheetId="21" r:id="rId3"/>
    <sheet name="Measure M2 - ZE Trucks" sheetId="3" r:id="rId4"/>
    <sheet name="Measure M3 - ZE CHE" sheetId="4" r:id="rId5"/>
    <sheet name="Measure M4 - ZE Switchers" sheetId="2" r:id="rId6"/>
    <sheet name="CHE EF " sheetId="15" r:id="rId7"/>
    <sheet name="EMFAC Model Results" sheetId="19" r:id="rId8"/>
    <sheet name="Calculation Equations" sheetId="22" r:id="rId9"/>
    <sheet name="OFFROAD Model" sheetId="14" r:id="rId10"/>
  </sheets>
  <definedNames>
    <definedName name="_Hlk161506218" localSheetId="8">'Calculation Equations'!$A$106</definedName>
    <definedName name="OLE_LINK1" localSheetId="8">'Calculation Equations'!$A$55</definedName>
    <definedName name="OLE_LINK11" localSheetId="8">'Calculation Equations'!#REF!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1" l="1"/>
  <c r="F8" i="21"/>
  <c r="G8" i="21"/>
  <c r="H8" i="21"/>
  <c r="I8" i="21"/>
  <c r="D8" i="21"/>
  <c r="C8" i="17"/>
  <c r="D8" i="17" s="1"/>
  <c r="E8" i="17" s="1"/>
  <c r="F8" i="17" s="1"/>
  <c r="G8" i="17" s="1"/>
  <c r="H8" i="17" s="1"/>
  <c r="D46" i="21"/>
  <c r="D53" i="21" s="1"/>
  <c r="C24" i="1" s="1"/>
  <c r="C123" i="3"/>
  <c r="C125" i="3" s="1"/>
  <c r="H73" i="21"/>
  <c r="G73" i="21"/>
  <c r="F73" i="21"/>
  <c r="E73" i="21"/>
  <c r="D73" i="21"/>
  <c r="C73" i="21"/>
  <c r="H42" i="3"/>
  <c r="G42" i="3"/>
  <c r="F42" i="3"/>
  <c r="E42" i="3"/>
  <c r="D42" i="3"/>
  <c r="C42" i="3"/>
  <c r="H30" i="3"/>
  <c r="G30" i="3"/>
  <c r="F30" i="3"/>
  <c r="E30" i="3"/>
  <c r="D30" i="3"/>
  <c r="C30" i="3"/>
  <c r="H17" i="3"/>
  <c r="G17" i="3"/>
  <c r="F17" i="3"/>
  <c r="E17" i="3"/>
  <c r="D17" i="3"/>
  <c r="C17" i="3"/>
  <c r="BP213" i="19"/>
  <c r="BP202" i="19"/>
  <c r="BP191" i="19"/>
  <c r="BP180" i="19"/>
  <c r="BP169" i="19"/>
  <c r="BP158" i="19"/>
  <c r="BP147" i="19"/>
  <c r="BP136" i="19"/>
  <c r="BP125" i="19"/>
  <c r="BP114" i="19"/>
  <c r="BP103" i="19"/>
  <c r="BP92" i="19"/>
  <c r="BP80" i="19"/>
  <c r="BP68" i="19"/>
  <c r="BP56" i="19"/>
  <c r="BP44" i="19"/>
  <c r="BP32" i="19"/>
  <c r="BP20" i="19"/>
  <c r="D9" i="21"/>
  <c r="D6" i="2"/>
  <c r="E6" i="2"/>
  <c r="F6" i="2"/>
  <c r="G6" i="2"/>
  <c r="H6" i="2"/>
  <c r="C6" i="2"/>
  <c r="C7" i="2" s="1"/>
  <c r="C82" i="2" s="1"/>
  <c r="C10" i="3"/>
  <c r="C8" i="3"/>
  <c r="C6" i="3"/>
  <c r="C8" i="4"/>
  <c r="C6" i="4"/>
  <c r="D8" i="4"/>
  <c r="D9" i="4" s="1"/>
  <c r="E8" i="4"/>
  <c r="F8" i="4"/>
  <c r="G8" i="4"/>
  <c r="H8" i="4"/>
  <c r="D6" i="4"/>
  <c r="D7" i="4" s="1"/>
  <c r="E6" i="4"/>
  <c r="F6" i="4"/>
  <c r="G6" i="4"/>
  <c r="H6" i="4"/>
  <c r="D10" i="3"/>
  <c r="E10" i="3"/>
  <c r="F10" i="3"/>
  <c r="G10" i="3"/>
  <c r="H10" i="3"/>
  <c r="D8" i="3"/>
  <c r="E8" i="3"/>
  <c r="F8" i="3"/>
  <c r="G8" i="3"/>
  <c r="H8" i="3"/>
  <c r="D6" i="3"/>
  <c r="E6" i="3"/>
  <c r="F6" i="3"/>
  <c r="G6" i="3"/>
  <c r="H6" i="3"/>
  <c r="C32" i="17"/>
  <c r="D32" i="17" s="1"/>
  <c r="E32" i="17" s="1"/>
  <c r="F32" i="17" s="1"/>
  <c r="G32" i="17" s="1"/>
  <c r="H32" i="17" s="1"/>
  <c r="C26" i="17"/>
  <c r="D26" i="17" s="1"/>
  <c r="E26" i="17" s="1"/>
  <c r="F26" i="17" s="1"/>
  <c r="G26" i="17" s="1"/>
  <c r="H26" i="17" s="1"/>
  <c r="C24" i="17"/>
  <c r="D24" i="17" s="1"/>
  <c r="E24" i="17" s="1"/>
  <c r="F24" i="17" s="1"/>
  <c r="G24" i="17" s="1"/>
  <c r="H24" i="17" s="1"/>
  <c r="C18" i="17"/>
  <c r="D18" i="17" s="1"/>
  <c r="E18" i="17" s="1"/>
  <c r="F18" i="17" s="1"/>
  <c r="G18" i="17" s="1"/>
  <c r="H18" i="17" s="1"/>
  <c r="C16" i="17"/>
  <c r="D16" i="17" s="1"/>
  <c r="E16" i="17" s="1"/>
  <c r="F16" i="17" s="1"/>
  <c r="G16" i="17" s="1"/>
  <c r="H16" i="17" s="1"/>
  <c r="C14" i="17"/>
  <c r="D14" i="17" s="1"/>
  <c r="E14" i="17" s="1"/>
  <c r="F14" i="17" s="1"/>
  <c r="G14" i="17" s="1"/>
  <c r="H14" i="17" s="1"/>
  <c r="E41" i="3"/>
  <c r="C41" i="3"/>
  <c r="C29" i="3"/>
  <c r="H213" i="19"/>
  <c r="H41" i="3" s="1"/>
  <c r="H202" i="19"/>
  <c r="H29" i="3" s="1"/>
  <c r="H191" i="19"/>
  <c r="G41" i="3" s="1"/>
  <c r="H180" i="19"/>
  <c r="G29" i="3" s="1"/>
  <c r="H169" i="19"/>
  <c r="F41" i="3" s="1"/>
  <c r="H158" i="19"/>
  <c r="F29" i="3" s="1"/>
  <c r="H147" i="19"/>
  <c r="H136" i="19"/>
  <c r="E29" i="3" s="1"/>
  <c r="H125" i="19"/>
  <c r="D41" i="3" s="1"/>
  <c r="H114" i="19"/>
  <c r="D29" i="3" s="1"/>
  <c r="H103" i="19"/>
  <c r="H92" i="19"/>
  <c r="D41" i="21"/>
  <c r="D31" i="21"/>
  <c r="M211" i="19"/>
  <c r="C89" i="3" s="1"/>
  <c r="H11" i="21"/>
  <c r="I11" i="21" s="1"/>
  <c r="J11" i="21" s="1"/>
  <c r="K11" i="21" s="1"/>
  <c r="L11" i="21" s="1"/>
  <c r="M11" i="21" s="1"/>
  <c r="N11" i="21" s="1"/>
  <c r="O11" i="21" s="1"/>
  <c r="P11" i="21" s="1"/>
  <c r="Q11" i="21" s="1"/>
  <c r="R11" i="21" s="1"/>
  <c r="S11" i="21" s="1"/>
  <c r="T11" i="21" s="1"/>
  <c r="U11" i="21" s="1"/>
  <c r="V11" i="21" s="1"/>
  <c r="W11" i="21" s="1"/>
  <c r="X11" i="21" s="1"/>
  <c r="Y11" i="21" s="1"/>
  <c r="Z11" i="21" s="1"/>
  <c r="AA11" i="21" s="1"/>
  <c r="AB11" i="21" s="1"/>
  <c r="AC11" i="21" s="1"/>
  <c r="Y212" i="19"/>
  <c r="E90" i="3" s="1"/>
  <c r="Y201" i="19"/>
  <c r="E88" i="3" s="1"/>
  <c r="X211" i="19"/>
  <c r="E89" i="3" s="1"/>
  <c r="X200" i="19"/>
  <c r="E87" i="3" s="1"/>
  <c r="R212" i="19"/>
  <c r="D90" i="3" s="1"/>
  <c r="R201" i="19"/>
  <c r="D88" i="3" s="1"/>
  <c r="Q211" i="19"/>
  <c r="D89" i="3" s="1"/>
  <c r="Q200" i="19"/>
  <c r="D87" i="3" s="1"/>
  <c r="N212" i="19"/>
  <c r="C90" i="3" s="1"/>
  <c r="N201" i="19"/>
  <c r="C88" i="3" s="1"/>
  <c r="M200" i="19"/>
  <c r="C87" i="3" s="1"/>
  <c r="D47" i="21" l="1"/>
  <c r="D55" i="21" s="1"/>
  <c r="C124" i="3"/>
  <c r="C84" i="2"/>
  <c r="D48" i="21"/>
  <c r="D54" i="21" s="1"/>
  <c r="E9" i="21"/>
  <c r="E10" i="21" s="1"/>
  <c r="E12" i="21" s="1"/>
  <c r="E14" i="21" s="1"/>
  <c r="C71" i="2"/>
  <c r="D7" i="2"/>
  <c r="D82" i="2" s="1"/>
  <c r="E7" i="4"/>
  <c r="E9" i="4"/>
  <c r="F9" i="4" s="1"/>
  <c r="G9" i="4" s="1"/>
  <c r="C130" i="3"/>
  <c r="D11" i="3"/>
  <c r="D9" i="3"/>
  <c r="D7" i="3"/>
  <c r="C14" i="1" l="1"/>
  <c r="D123" i="3"/>
  <c r="D125" i="3" s="1"/>
  <c r="D84" i="2"/>
  <c r="F7" i="4"/>
  <c r="G7" i="4" s="1"/>
  <c r="E13" i="21"/>
  <c r="F9" i="21"/>
  <c r="G9" i="21" s="1"/>
  <c r="G10" i="21" s="1"/>
  <c r="G12" i="21" s="1"/>
  <c r="G14" i="21" s="1"/>
  <c r="D71" i="2"/>
  <c r="E7" i="2"/>
  <c r="E82" i="2" s="1"/>
  <c r="E84" i="2" s="1"/>
  <c r="D130" i="3"/>
  <c r="H9" i="4"/>
  <c r="E9" i="3"/>
  <c r="E11" i="3"/>
  <c r="E26" i="21"/>
  <c r="E27" i="21"/>
  <c r="E28" i="21"/>
  <c r="E7" i="3"/>
  <c r="D124" i="3" l="1"/>
  <c r="E15" i="21"/>
  <c r="E46" i="21"/>
  <c r="E123" i="3"/>
  <c r="H9" i="21"/>
  <c r="I9" i="21" s="1"/>
  <c r="F10" i="21"/>
  <c r="F12" i="21" s="1"/>
  <c r="F14" i="21" s="1"/>
  <c r="F26" i="21" s="1"/>
  <c r="E71" i="2"/>
  <c r="F7" i="2"/>
  <c r="F82" i="2" s="1"/>
  <c r="E130" i="3"/>
  <c r="I9" i="4"/>
  <c r="H7" i="4"/>
  <c r="F11" i="3"/>
  <c r="F9" i="3"/>
  <c r="E29" i="21"/>
  <c r="G13" i="21"/>
  <c r="F7" i="3"/>
  <c r="F123" i="3" s="1"/>
  <c r="F84" i="2" l="1"/>
  <c r="E125" i="3"/>
  <c r="F125" i="3"/>
  <c r="G15" i="21"/>
  <c r="G46" i="21"/>
  <c r="E48" i="21"/>
  <c r="E47" i="21"/>
  <c r="E124" i="3"/>
  <c r="F124" i="3" s="1"/>
  <c r="H10" i="21"/>
  <c r="H12" i="21" s="1"/>
  <c r="H14" i="21" s="1"/>
  <c r="F27" i="21"/>
  <c r="F28" i="21"/>
  <c r="F13" i="21"/>
  <c r="F71" i="2"/>
  <c r="G7" i="2"/>
  <c r="G82" i="2" s="1"/>
  <c r="G84" i="2" s="1"/>
  <c r="F130" i="3"/>
  <c r="I10" i="21"/>
  <c r="I12" i="21" s="1"/>
  <c r="I14" i="21" s="1"/>
  <c r="E30" i="21"/>
  <c r="E31" i="21"/>
  <c r="I7" i="4"/>
  <c r="J9" i="4"/>
  <c r="G9" i="3"/>
  <c r="G11" i="3"/>
  <c r="G28" i="21"/>
  <c r="G27" i="21"/>
  <c r="G26" i="21"/>
  <c r="J9" i="21"/>
  <c r="G7" i="3"/>
  <c r="G123" i="3" l="1"/>
  <c r="G124" i="3" s="1"/>
  <c r="F15" i="21"/>
  <c r="F46" i="21"/>
  <c r="H13" i="21"/>
  <c r="F29" i="21"/>
  <c r="F30" i="21" s="1"/>
  <c r="H7" i="2"/>
  <c r="H82" i="2" s="1"/>
  <c r="G71" i="2"/>
  <c r="G130" i="3"/>
  <c r="J10" i="21"/>
  <c r="J12" i="21" s="1"/>
  <c r="J14" i="21" s="1"/>
  <c r="K9" i="4"/>
  <c r="J7" i="4"/>
  <c r="H11" i="3"/>
  <c r="H9" i="3"/>
  <c r="I13" i="21"/>
  <c r="G29" i="21"/>
  <c r="H26" i="21"/>
  <c r="H28" i="21"/>
  <c r="H27" i="21"/>
  <c r="K9" i="21"/>
  <c r="H7" i="3"/>
  <c r="G125" i="3" l="1"/>
  <c r="F31" i="21"/>
  <c r="H123" i="3"/>
  <c r="H124" i="3" s="1"/>
  <c r="H15" i="21"/>
  <c r="H46" i="21"/>
  <c r="H48" i="21" s="1"/>
  <c r="H84" i="2"/>
  <c r="F48" i="21"/>
  <c r="G48" i="21"/>
  <c r="I15" i="21"/>
  <c r="I46" i="21"/>
  <c r="F47" i="21"/>
  <c r="G47" i="21" s="1"/>
  <c r="C110" i="2"/>
  <c r="I7" i="2"/>
  <c r="I82" i="2" s="1"/>
  <c r="I84" i="2" s="1"/>
  <c r="C108" i="2"/>
  <c r="H71" i="2"/>
  <c r="H130" i="3"/>
  <c r="G30" i="21"/>
  <c r="K10" i="21"/>
  <c r="K12" i="21" s="1"/>
  <c r="K14" i="21" s="1"/>
  <c r="G31" i="21"/>
  <c r="K7" i="4"/>
  <c r="L9" i="4"/>
  <c r="I11" i="3"/>
  <c r="I9" i="3"/>
  <c r="J13" i="21"/>
  <c r="I26" i="21"/>
  <c r="I27" i="21"/>
  <c r="I28" i="21"/>
  <c r="H29" i="21"/>
  <c r="L9" i="21"/>
  <c r="I7" i="3"/>
  <c r="H47" i="21" l="1"/>
  <c r="I47" i="21" s="1"/>
  <c r="J15" i="21"/>
  <c r="J46" i="21"/>
  <c r="I123" i="3"/>
  <c r="I48" i="21"/>
  <c r="H125" i="3"/>
  <c r="I71" i="2"/>
  <c r="J7" i="2"/>
  <c r="J82" i="2" s="1"/>
  <c r="I130" i="3"/>
  <c r="L10" i="21"/>
  <c r="L12" i="21" s="1"/>
  <c r="L14" i="21" s="1"/>
  <c r="H30" i="21"/>
  <c r="H31" i="21"/>
  <c r="M9" i="4"/>
  <c r="L7" i="4"/>
  <c r="J9" i="3"/>
  <c r="J11" i="3"/>
  <c r="K13" i="21"/>
  <c r="J26" i="21"/>
  <c r="J28" i="21"/>
  <c r="J27" i="21"/>
  <c r="I29" i="21"/>
  <c r="M9" i="21"/>
  <c r="J7" i="3"/>
  <c r="J47" i="21" l="1"/>
  <c r="J84" i="2"/>
  <c r="I125" i="3"/>
  <c r="J123" i="3"/>
  <c r="J48" i="21"/>
  <c r="I124" i="3"/>
  <c r="K15" i="21"/>
  <c r="K46" i="21"/>
  <c r="K7" i="2"/>
  <c r="K82" i="2" s="1"/>
  <c r="J71" i="2"/>
  <c r="J130" i="3"/>
  <c r="M10" i="21"/>
  <c r="M12" i="21" s="1"/>
  <c r="M14" i="21" s="1"/>
  <c r="I31" i="21"/>
  <c r="I30" i="21"/>
  <c r="M7" i="4"/>
  <c r="N9" i="4"/>
  <c r="K11" i="3"/>
  <c r="K9" i="3"/>
  <c r="L13" i="21"/>
  <c r="K28" i="21"/>
  <c r="K26" i="21"/>
  <c r="K27" i="21"/>
  <c r="J29" i="21"/>
  <c r="N9" i="21"/>
  <c r="K7" i="3"/>
  <c r="J124" i="3" l="1"/>
  <c r="K47" i="21"/>
  <c r="L15" i="21"/>
  <c r="L46" i="21"/>
  <c r="K123" i="3"/>
  <c r="K48" i="21"/>
  <c r="J125" i="3"/>
  <c r="K84" i="2"/>
  <c r="K71" i="2"/>
  <c r="L7" i="2"/>
  <c r="L82" i="2" s="1"/>
  <c r="L84" i="2" s="1"/>
  <c r="K130" i="3"/>
  <c r="N10" i="21"/>
  <c r="N12" i="21" s="1"/>
  <c r="N14" i="21" s="1"/>
  <c r="J30" i="21"/>
  <c r="J31" i="21"/>
  <c r="O9" i="4"/>
  <c r="N7" i="4"/>
  <c r="L9" i="3"/>
  <c r="L11" i="3"/>
  <c r="M13" i="21"/>
  <c r="L28" i="21"/>
  <c r="L27" i="21"/>
  <c r="L26" i="21"/>
  <c r="K29" i="21"/>
  <c r="O9" i="21"/>
  <c r="L7" i="3"/>
  <c r="L47" i="21" l="1"/>
  <c r="L123" i="3"/>
  <c r="L48" i="21"/>
  <c r="L125" i="3"/>
  <c r="K125" i="3"/>
  <c r="M15" i="21"/>
  <c r="M46" i="21"/>
  <c r="K124" i="3"/>
  <c r="L124" i="3" s="1"/>
  <c r="L71" i="2"/>
  <c r="M7" i="2"/>
  <c r="M82" i="2" s="1"/>
  <c r="M84" i="2" s="1"/>
  <c r="L130" i="3"/>
  <c r="O10" i="21"/>
  <c r="O12" i="21" s="1"/>
  <c r="O14" i="21" s="1"/>
  <c r="K30" i="21"/>
  <c r="K31" i="21"/>
  <c r="O7" i="4"/>
  <c r="P9" i="4"/>
  <c r="M11" i="3"/>
  <c r="M9" i="3"/>
  <c r="N13" i="21"/>
  <c r="M27" i="21"/>
  <c r="M26" i="21"/>
  <c r="M28" i="21"/>
  <c r="L29" i="21"/>
  <c r="P9" i="21"/>
  <c r="M7" i="3"/>
  <c r="M47" i="21" l="1"/>
  <c r="M123" i="3"/>
  <c r="M124" i="3" s="1"/>
  <c r="N15" i="21"/>
  <c r="N46" i="21"/>
  <c r="N48" i="21" s="1"/>
  <c r="M125" i="3"/>
  <c r="M48" i="21"/>
  <c r="N7" i="2"/>
  <c r="N82" i="2" s="1"/>
  <c r="N84" i="2" s="1"/>
  <c r="M71" i="2"/>
  <c r="M130" i="3"/>
  <c r="L30" i="21"/>
  <c r="L31" i="21"/>
  <c r="P10" i="21"/>
  <c r="P12" i="21" s="1"/>
  <c r="P14" i="21" s="1"/>
  <c r="Q9" i="4"/>
  <c r="P7" i="4"/>
  <c r="N9" i="3"/>
  <c r="N11" i="3"/>
  <c r="O13" i="21"/>
  <c r="N27" i="21"/>
  <c r="N28" i="21"/>
  <c r="N26" i="21"/>
  <c r="M29" i="21"/>
  <c r="Q9" i="21"/>
  <c r="N7" i="3"/>
  <c r="N47" i="21" l="1"/>
  <c r="O15" i="21"/>
  <c r="O46" i="21"/>
  <c r="N123" i="3"/>
  <c r="N124" i="3" s="1"/>
  <c r="O7" i="2"/>
  <c r="O82" i="2" s="1"/>
  <c r="O84" i="2" s="1"/>
  <c r="N71" i="2"/>
  <c r="N130" i="3"/>
  <c r="M30" i="21"/>
  <c r="M31" i="21"/>
  <c r="Q10" i="21"/>
  <c r="Q12" i="21" s="1"/>
  <c r="Q14" i="21" s="1"/>
  <c r="Q7" i="4"/>
  <c r="R9" i="4"/>
  <c r="O11" i="3"/>
  <c r="O9" i="3"/>
  <c r="P13" i="21"/>
  <c r="O26" i="21"/>
  <c r="O27" i="21"/>
  <c r="O28" i="21"/>
  <c r="N29" i="21"/>
  <c r="R9" i="21"/>
  <c r="O7" i="3"/>
  <c r="O47" i="21" l="1"/>
  <c r="O123" i="3"/>
  <c r="O125" i="3" s="1"/>
  <c r="N125" i="3"/>
  <c r="O48" i="21"/>
  <c r="P15" i="21"/>
  <c r="P46" i="21"/>
  <c r="P7" i="2"/>
  <c r="P82" i="2" s="1"/>
  <c r="P84" i="2" s="1"/>
  <c r="O71" i="2"/>
  <c r="O130" i="3"/>
  <c r="R10" i="21"/>
  <c r="R12" i="21" s="1"/>
  <c r="R14" i="21" s="1"/>
  <c r="N30" i="21"/>
  <c r="N31" i="21"/>
  <c r="S9" i="4"/>
  <c r="R7" i="4"/>
  <c r="P9" i="3"/>
  <c r="P11" i="3"/>
  <c r="Q13" i="21"/>
  <c r="P26" i="21"/>
  <c r="P27" i="21"/>
  <c r="P28" i="21"/>
  <c r="O29" i="21"/>
  <c r="S9" i="21"/>
  <c r="P7" i="3"/>
  <c r="O124" i="3" l="1"/>
  <c r="P48" i="21"/>
  <c r="Q15" i="21"/>
  <c r="Q46" i="21"/>
  <c r="Q48" i="21" s="1"/>
  <c r="P123" i="3"/>
  <c r="P47" i="21"/>
  <c r="Q7" i="2"/>
  <c r="Q82" i="2" s="1"/>
  <c r="Q84" i="2" s="1"/>
  <c r="P71" i="2"/>
  <c r="P130" i="3"/>
  <c r="O30" i="21"/>
  <c r="O31" i="21"/>
  <c r="S10" i="21"/>
  <c r="S12" i="21" s="1"/>
  <c r="S14" i="21" s="1"/>
  <c r="S7" i="4"/>
  <c r="T9" i="4"/>
  <c r="Q11" i="3"/>
  <c r="Q9" i="3"/>
  <c r="R13" i="21"/>
  <c r="Q26" i="21"/>
  <c r="Q27" i="21"/>
  <c r="Q28" i="21"/>
  <c r="P29" i="21"/>
  <c r="T9" i="21"/>
  <c r="Q7" i="3"/>
  <c r="Q47" i="21" l="1"/>
  <c r="Q123" i="3"/>
  <c r="P125" i="3"/>
  <c r="R15" i="21"/>
  <c r="R46" i="21"/>
  <c r="P124" i="3"/>
  <c r="R7" i="2"/>
  <c r="R82" i="2" s="1"/>
  <c r="R84" i="2" s="1"/>
  <c r="Q71" i="2"/>
  <c r="Q130" i="3"/>
  <c r="T10" i="21"/>
  <c r="T12" i="21" s="1"/>
  <c r="T14" i="21" s="1"/>
  <c r="P30" i="21"/>
  <c r="P31" i="21"/>
  <c r="U9" i="4"/>
  <c r="T7" i="4"/>
  <c r="R9" i="3"/>
  <c r="R11" i="3"/>
  <c r="S13" i="21"/>
  <c r="R26" i="21"/>
  <c r="R28" i="21"/>
  <c r="R27" i="21"/>
  <c r="Q29" i="21"/>
  <c r="U9" i="21"/>
  <c r="R7" i="3"/>
  <c r="R47" i="21" l="1"/>
  <c r="S15" i="21"/>
  <c r="S46" i="21"/>
  <c r="Q124" i="3"/>
  <c r="R123" i="3"/>
  <c r="R48" i="21"/>
  <c r="Q125" i="3"/>
  <c r="S7" i="2"/>
  <c r="S82" i="2" s="1"/>
  <c r="S84" i="2" s="1"/>
  <c r="R71" i="2"/>
  <c r="R130" i="3"/>
  <c r="Q30" i="21"/>
  <c r="Q31" i="21"/>
  <c r="U10" i="21"/>
  <c r="U12" i="21" s="1"/>
  <c r="U14" i="21" s="1"/>
  <c r="U7" i="4"/>
  <c r="V9" i="4"/>
  <c r="S11" i="3"/>
  <c r="S9" i="3"/>
  <c r="T13" i="21"/>
  <c r="S28" i="21"/>
  <c r="S26" i="21"/>
  <c r="S27" i="21"/>
  <c r="R29" i="21"/>
  <c r="V9" i="21"/>
  <c r="S7" i="3"/>
  <c r="S47" i="21" l="1"/>
  <c r="S123" i="3"/>
  <c r="T15" i="21"/>
  <c r="T46" i="21"/>
  <c r="R125" i="3"/>
  <c r="R124" i="3"/>
  <c r="S48" i="21"/>
  <c r="T7" i="2"/>
  <c r="T82" i="2" s="1"/>
  <c r="T84" i="2" s="1"/>
  <c r="S71" i="2"/>
  <c r="S130" i="3"/>
  <c r="V10" i="21"/>
  <c r="V12" i="21" s="1"/>
  <c r="V14" i="21" s="1"/>
  <c r="R30" i="21"/>
  <c r="R31" i="21"/>
  <c r="W9" i="4"/>
  <c r="V7" i="4"/>
  <c r="T9" i="3"/>
  <c r="T11" i="3"/>
  <c r="U13" i="21"/>
  <c r="T28" i="21"/>
  <c r="T27" i="21"/>
  <c r="T26" i="21"/>
  <c r="S29" i="21"/>
  <c r="W9" i="21"/>
  <c r="T7" i="3"/>
  <c r="T47" i="21" l="1"/>
  <c r="S124" i="3"/>
  <c r="T123" i="3"/>
  <c r="S125" i="3"/>
  <c r="T48" i="21"/>
  <c r="U15" i="21"/>
  <c r="U46" i="21"/>
  <c r="U7" i="2"/>
  <c r="U82" i="2" s="1"/>
  <c r="U84" i="2" s="1"/>
  <c r="T71" i="2"/>
  <c r="T130" i="3"/>
  <c r="S30" i="21"/>
  <c r="S31" i="21"/>
  <c r="W10" i="21"/>
  <c r="W12" i="21" s="1"/>
  <c r="W14" i="21" s="1"/>
  <c r="W7" i="4"/>
  <c r="X9" i="4"/>
  <c r="U11" i="3"/>
  <c r="U9" i="3"/>
  <c r="V13" i="21"/>
  <c r="U28" i="21"/>
  <c r="U26" i="21"/>
  <c r="U27" i="21"/>
  <c r="T29" i="21"/>
  <c r="X9" i="21"/>
  <c r="U7" i="3"/>
  <c r="U47" i="21" l="1"/>
  <c r="T124" i="3"/>
  <c r="U123" i="3"/>
  <c r="U125" i="3" s="1"/>
  <c r="U48" i="21"/>
  <c r="V15" i="21"/>
  <c r="V46" i="21"/>
  <c r="V48" i="21" s="1"/>
  <c r="T125" i="3"/>
  <c r="V7" i="2"/>
  <c r="V82" i="2" s="1"/>
  <c r="V84" i="2" s="1"/>
  <c r="U71" i="2"/>
  <c r="U130" i="3"/>
  <c r="X10" i="21"/>
  <c r="X12" i="21" s="1"/>
  <c r="X14" i="21" s="1"/>
  <c r="T30" i="21"/>
  <c r="T31" i="21"/>
  <c r="Y9" i="4"/>
  <c r="X7" i="4"/>
  <c r="V9" i="3"/>
  <c r="V11" i="3"/>
  <c r="W13" i="21"/>
  <c r="V27" i="21"/>
  <c r="V28" i="21"/>
  <c r="V26" i="21"/>
  <c r="U29" i="21"/>
  <c r="Y9" i="21"/>
  <c r="V7" i="3"/>
  <c r="U124" i="3" l="1"/>
  <c r="W15" i="21"/>
  <c r="W46" i="21"/>
  <c r="V123" i="3"/>
  <c r="V47" i="21"/>
  <c r="W7" i="2"/>
  <c r="W82" i="2" s="1"/>
  <c r="W84" i="2" s="1"/>
  <c r="V71" i="2"/>
  <c r="V130" i="3"/>
  <c r="Y10" i="21"/>
  <c r="Y12" i="21" s="1"/>
  <c r="Y14" i="21" s="1"/>
  <c r="U30" i="21"/>
  <c r="U31" i="21"/>
  <c r="Z9" i="4"/>
  <c r="Y7" i="4"/>
  <c r="W11" i="3"/>
  <c r="W9" i="3"/>
  <c r="X13" i="21"/>
  <c r="W26" i="21"/>
  <c r="W27" i="21"/>
  <c r="W28" i="21"/>
  <c r="V29" i="21"/>
  <c r="Z9" i="21"/>
  <c r="W7" i="3"/>
  <c r="W123" i="3" l="1"/>
  <c r="W125" i="3" s="1"/>
  <c r="V125" i="3"/>
  <c r="W48" i="21"/>
  <c r="X15" i="21"/>
  <c r="X46" i="21"/>
  <c r="W47" i="21"/>
  <c r="V124" i="3"/>
  <c r="W124" i="3" s="1"/>
  <c r="X7" i="2"/>
  <c r="X82" i="2" s="1"/>
  <c r="X84" i="2" s="1"/>
  <c r="W71" i="2"/>
  <c r="W130" i="3"/>
  <c r="Z10" i="21"/>
  <c r="Z12" i="21" s="1"/>
  <c r="Z14" i="21" s="1"/>
  <c r="V30" i="21"/>
  <c r="V31" i="21"/>
  <c r="AA9" i="4"/>
  <c r="Z7" i="4"/>
  <c r="X9" i="3"/>
  <c r="X11" i="3"/>
  <c r="Y13" i="21"/>
  <c r="X27" i="21"/>
  <c r="X28" i="21"/>
  <c r="X26" i="21"/>
  <c r="W29" i="21"/>
  <c r="AA9" i="21"/>
  <c r="X7" i="3"/>
  <c r="X47" i="21" l="1"/>
  <c r="X48" i="21"/>
  <c r="X123" i="3"/>
  <c r="Y15" i="21"/>
  <c r="Y46" i="21"/>
  <c r="Y48" i="21" s="1"/>
  <c r="X71" i="2"/>
  <c r="Y7" i="2"/>
  <c r="Y82" i="2" s="1"/>
  <c r="Y84" i="2" s="1"/>
  <c r="X130" i="3"/>
  <c r="W30" i="21"/>
  <c r="W31" i="21"/>
  <c r="AA10" i="21"/>
  <c r="AA12" i="21" s="1"/>
  <c r="AA14" i="21" s="1"/>
  <c r="AB9" i="4"/>
  <c r="AA7" i="4"/>
  <c r="Y11" i="3"/>
  <c r="Y9" i="3"/>
  <c r="Z13" i="21"/>
  <c r="Y28" i="21"/>
  <c r="Y26" i="21"/>
  <c r="Y27" i="21"/>
  <c r="X29" i="21"/>
  <c r="AB9" i="21"/>
  <c r="Y7" i="3"/>
  <c r="Y47" i="21" l="1"/>
  <c r="X125" i="3"/>
  <c r="Y123" i="3"/>
  <c r="Z15" i="21"/>
  <c r="Z46" i="21"/>
  <c r="X124" i="3"/>
  <c r="Z7" i="2"/>
  <c r="Z82" i="2" s="1"/>
  <c r="Z84" i="2" s="1"/>
  <c r="Y71" i="2"/>
  <c r="Y130" i="3"/>
  <c r="X30" i="21"/>
  <c r="X31" i="21"/>
  <c r="AB10" i="21"/>
  <c r="AB12" i="21" s="1"/>
  <c r="AB14" i="21" s="1"/>
  <c r="AB7" i="4"/>
  <c r="Z9" i="3"/>
  <c r="Z11" i="3"/>
  <c r="AA13" i="21"/>
  <c r="Z28" i="21"/>
  <c r="Z26" i="21"/>
  <c r="Z27" i="21"/>
  <c r="Y29" i="21"/>
  <c r="AC9" i="21"/>
  <c r="Z7" i="3"/>
  <c r="Y124" i="3" l="1"/>
  <c r="Z123" i="3"/>
  <c r="Z125" i="3" s="1"/>
  <c r="Z48" i="21"/>
  <c r="Y125" i="3"/>
  <c r="AA15" i="21"/>
  <c r="AA46" i="21"/>
  <c r="AA48" i="21" s="1"/>
  <c r="Z47" i="21"/>
  <c r="AA7" i="2"/>
  <c r="AA82" i="2" s="1"/>
  <c r="AA84" i="2" s="1"/>
  <c r="Z71" i="2"/>
  <c r="Z130" i="3"/>
  <c r="Y30" i="21"/>
  <c r="Y31" i="21"/>
  <c r="AA11" i="3"/>
  <c r="AA9" i="3"/>
  <c r="AC10" i="21"/>
  <c r="AC12" i="21" s="1"/>
  <c r="AC14" i="21" s="1"/>
  <c r="AB13" i="21"/>
  <c r="AA27" i="21"/>
  <c r="AA26" i="21"/>
  <c r="AA28" i="21"/>
  <c r="Z29" i="21"/>
  <c r="AA7" i="3"/>
  <c r="Z124" i="3" l="1"/>
  <c r="AA47" i="21"/>
  <c r="AA123" i="3"/>
  <c r="AA125" i="3" s="1"/>
  <c r="AB15" i="21"/>
  <c r="AB46" i="21"/>
  <c r="AB48" i="21" s="1"/>
  <c r="AB7" i="2"/>
  <c r="AA71" i="2"/>
  <c r="AA130" i="3"/>
  <c r="Z30" i="21"/>
  <c r="Z31" i="21"/>
  <c r="AB9" i="3"/>
  <c r="AB11" i="3"/>
  <c r="AC13" i="21"/>
  <c r="AB27" i="21"/>
  <c r="AB26" i="21"/>
  <c r="AB28" i="21"/>
  <c r="AC28" i="21"/>
  <c r="AA29" i="21"/>
  <c r="AB7" i="3"/>
  <c r="AN212" i="19"/>
  <c r="H48" i="3" s="1"/>
  <c r="AN201" i="19"/>
  <c r="H36" i="3" s="1"/>
  <c r="AN190" i="19"/>
  <c r="G48" i="3" s="1"/>
  <c r="AN179" i="19"/>
  <c r="G36" i="3" s="1"/>
  <c r="AN168" i="19"/>
  <c r="F48" i="3" s="1"/>
  <c r="AN157" i="19"/>
  <c r="F36" i="3" s="1"/>
  <c r="AN146" i="19"/>
  <c r="E48" i="3" s="1"/>
  <c r="AN135" i="19"/>
  <c r="E36" i="3" s="1"/>
  <c r="AN124" i="19"/>
  <c r="D48" i="3" s="1"/>
  <c r="AN113" i="19"/>
  <c r="D36" i="3" s="1"/>
  <c r="AN102" i="19"/>
  <c r="C48" i="3" s="1"/>
  <c r="AN91" i="19"/>
  <c r="C36" i="3" s="1"/>
  <c r="AM211" i="19"/>
  <c r="H45" i="3" s="1"/>
  <c r="AM200" i="19"/>
  <c r="H33" i="3" s="1"/>
  <c r="AM189" i="19"/>
  <c r="G45" i="3" s="1"/>
  <c r="AM178" i="19"/>
  <c r="G33" i="3" s="1"/>
  <c r="AM167" i="19"/>
  <c r="F45" i="3" s="1"/>
  <c r="AM156" i="19"/>
  <c r="F33" i="3" s="1"/>
  <c r="AM145" i="19"/>
  <c r="E45" i="3" s="1"/>
  <c r="AM134" i="19"/>
  <c r="E33" i="3" s="1"/>
  <c r="AM123" i="19"/>
  <c r="D45" i="3" s="1"/>
  <c r="AM112" i="19"/>
  <c r="D33" i="3" s="1"/>
  <c r="AM101" i="19"/>
  <c r="C45" i="3" s="1"/>
  <c r="AM90" i="19"/>
  <c r="C33" i="3" s="1"/>
  <c r="AJ212" i="19"/>
  <c r="H47" i="3" s="1"/>
  <c r="AJ201" i="19"/>
  <c r="H35" i="3" s="1"/>
  <c r="AJ190" i="19"/>
  <c r="G47" i="3" s="1"/>
  <c r="AJ179" i="19"/>
  <c r="G35" i="3" s="1"/>
  <c r="AJ168" i="19"/>
  <c r="F47" i="3" s="1"/>
  <c r="AJ157" i="19"/>
  <c r="F35" i="3" s="1"/>
  <c r="AJ146" i="19"/>
  <c r="E47" i="3" s="1"/>
  <c r="AJ135" i="19"/>
  <c r="E35" i="3" s="1"/>
  <c r="AJ124" i="19"/>
  <c r="D47" i="3" s="1"/>
  <c r="AJ113" i="19"/>
  <c r="D35" i="3" s="1"/>
  <c r="AJ102" i="19"/>
  <c r="C47" i="3" s="1"/>
  <c r="AJ91" i="19"/>
  <c r="C35" i="3" s="1"/>
  <c r="AI211" i="19"/>
  <c r="H44" i="3" s="1"/>
  <c r="AI200" i="19"/>
  <c r="H32" i="3" s="1"/>
  <c r="AI189" i="19"/>
  <c r="G44" i="3" s="1"/>
  <c r="AI178" i="19"/>
  <c r="G32" i="3" s="1"/>
  <c r="AI167" i="19"/>
  <c r="F44" i="3" s="1"/>
  <c r="AI156" i="19"/>
  <c r="F32" i="3" s="1"/>
  <c r="AI145" i="19"/>
  <c r="E44" i="3" s="1"/>
  <c r="AI134" i="19"/>
  <c r="E32" i="3" s="1"/>
  <c r="AI123" i="19"/>
  <c r="D44" i="3" s="1"/>
  <c r="AI112" i="19"/>
  <c r="D32" i="3" s="1"/>
  <c r="AI101" i="19"/>
  <c r="C44" i="3" s="1"/>
  <c r="AI90" i="19"/>
  <c r="C32" i="3" s="1"/>
  <c r="AF212" i="19"/>
  <c r="H46" i="3" s="1"/>
  <c r="AF201" i="19"/>
  <c r="H34" i="3" s="1"/>
  <c r="AF190" i="19"/>
  <c r="G46" i="3" s="1"/>
  <c r="AF179" i="19"/>
  <c r="G34" i="3" s="1"/>
  <c r="AF168" i="19"/>
  <c r="F46" i="3" s="1"/>
  <c r="AF157" i="19"/>
  <c r="F34" i="3" s="1"/>
  <c r="AF146" i="19"/>
  <c r="E46" i="3" s="1"/>
  <c r="AF135" i="19"/>
  <c r="E34" i="3" s="1"/>
  <c r="AF124" i="19"/>
  <c r="D46" i="3" s="1"/>
  <c r="AF113" i="19"/>
  <c r="D34" i="3" s="1"/>
  <c r="AF102" i="19"/>
  <c r="C46" i="3" s="1"/>
  <c r="AF91" i="19"/>
  <c r="C34" i="3" s="1"/>
  <c r="AE189" i="19"/>
  <c r="G43" i="3" s="1"/>
  <c r="AE211" i="19"/>
  <c r="H43" i="3" s="1"/>
  <c r="AE200" i="19"/>
  <c r="H31" i="3" s="1"/>
  <c r="AE178" i="19"/>
  <c r="G31" i="3" s="1"/>
  <c r="AE167" i="19"/>
  <c r="F43" i="3" s="1"/>
  <c r="AE156" i="19"/>
  <c r="F31" i="3" s="1"/>
  <c r="AE145" i="19"/>
  <c r="E43" i="3" s="1"/>
  <c r="AE134" i="19"/>
  <c r="E31" i="3" s="1"/>
  <c r="AE123" i="19"/>
  <c r="D43" i="3" s="1"/>
  <c r="AE112" i="19"/>
  <c r="D31" i="3" s="1"/>
  <c r="AE101" i="19"/>
  <c r="C43" i="3" s="1"/>
  <c r="AE90" i="19"/>
  <c r="C31" i="3" s="1"/>
  <c r="AA124" i="3" l="1"/>
  <c r="AB47" i="21"/>
  <c r="AB71" i="2"/>
  <c r="AB82" i="2"/>
  <c r="AB84" i="2" s="1"/>
  <c r="AC15" i="21"/>
  <c r="AC46" i="21"/>
  <c r="AC48" i="21" s="1"/>
  <c r="AB123" i="3"/>
  <c r="AB125" i="3" s="1"/>
  <c r="AB130" i="3"/>
  <c r="AA30" i="21"/>
  <c r="AA31" i="21"/>
  <c r="AC26" i="21"/>
  <c r="AC27" i="21"/>
  <c r="AB29" i="21"/>
  <c r="AC47" i="21" l="1"/>
  <c r="AB124" i="3"/>
  <c r="AB30" i="21"/>
  <c r="AB31" i="21"/>
  <c r="AC29" i="21"/>
  <c r="AC31" i="21" s="1"/>
  <c r="AC30" i="21" l="1"/>
  <c r="R13" i="15" l="1"/>
  <c r="R14" i="15"/>
  <c r="O13" i="14"/>
  <c r="O12" i="14"/>
  <c r="O11" i="14"/>
  <c r="O10" i="14"/>
  <c r="Q9" i="15"/>
  <c r="R9" i="15" s="1"/>
  <c r="Q10" i="15"/>
  <c r="R10" i="15" s="1"/>
  <c r="Q11" i="15"/>
  <c r="R11" i="15" s="1"/>
  <c r="Q12" i="15"/>
  <c r="R12" i="15" s="1"/>
  <c r="Q13" i="15"/>
  <c r="Q14" i="15"/>
  <c r="Q22" i="15"/>
  <c r="R22" i="15" s="1"/>
  <c r="Q23" i="15"/>
  <c r="R23" i="15" s="1"/>
  <c r="Q24" i="15"/>
  <c r="R24" i="15" s="1"/>
  <c r="Q25" i="15"/>
  <c r="R25" i="15" s="1"/>
  <c r="Q26" i="15"/>
  <c r="R26" i="15" s="1"/>
  <c r="Q27" i="15"/>
  <c r="R27" i="15" s="1"/>
  <c r="Q28" i="15"/>
  <c r="R28" i="15" s="1"/>
  <c r="Q21" i="15"/>
  <c r="R21" i="15" s="1"/>
  <c r="N22" i="15"/>
  <c r="N23" i="15"/>
  <c r="N24" i="15"/>
  <c r="N25" i="15"/>
  <c r="N26" i="15"/>
  <c r="N27" i="15"/>
  <c r="N28" i="15"/>
  <c r="N21" i="15"/>
  <c r="Q8" i="15"/>
  <c r="R8" i="15" s="1"/>
  <c r="N9" i="15"/>
  <c r="N10" i="15"/>
  <c r="N11" i="15"/>
  <c r="N12" i="15"/>
  <c r="N13" i="15"/>
  <c r="N14" i="15"/>
  <c r="N8" i="15"/>
  <c r="C35" i="2"/>
  <c r="C46" i="4"/>
  <c r="C69" i="3"/>
  <c r="V131" i="3" s="1"/>
  <c r="R15" i="15" l="1"/>
  <c r="E62" i="4" s="1"/>
  <c r="N15" i="15"/>
  <c r="C62" i="4" s="1"/>
  <c r="R29" i="15"/>
  <c r="E63" i="4" s="1"/>
  <c r="Q29" i="15"/>
  <c r="D63" i="4" s="1"/>
  <c r="N29" i="15"/>
  <c r="C63" i="4" s="1"/>
  <c r="Q15" i="15"/>
  <c r="D62" i="4" s="1"/>
  <c r="C118" i="4" l="1"/>
  <c r="C117" i="4"/>
  <c r="C116" i="4"/>
  <c r="C22" i="15" l="1"/>
  <c r="O79" i="19"/>
  <c r="P79" i="19"/>
  <c r="R79" i="19"/>
  <c r="S79" i="19"/>
  <c r="T79" i="19"/>
  <c r="U79" i="19"/>
  <c r="V79" i="19"/>
  <c r="W79" i="19"/>
  <c r="Y79" i="19"/>
  <c r="Z79" i="19"/>
  <c r="AA79" i="19"/>
  <c r="AB79" i="19"/>
  <c r="AC79" i="19"/>
  <c r="AD79" i="19"/>
  <c r="AF79" i="19"/>
  <c r="AG79" i="19"/>
  <c r="AH79" i="19"/>
  <c r="AJ79" i="19"/>
  <c r="AK79" i="19"/>
  <c r="AL79" i="19"/>
  <c r="AN79" i="19"/>
  <c r="N79" i="19"/>
  <c r="O67" i="19"/>
  <c r="P67" i="19"/>
  <c r="R67" i="19"/>
  <c r="S67" i="19"/>
  <c r="T67" i="19"/>
  <c r="U67" i="19"/>
  <c r="V67" i="19"/>
  <c r="W67" i="19"/>
  <c r="Y67" i="19"/>
  <c r="Z67" i="19"/>
  <c r="AA67" i="19"/>
  <c r="AB67" i="19"/>
  <c r="AC67" i="19"/>
  <c r="AD67" i="19"/>
  <c r="AF67" i="19"/>
  <c r="AG67" i="19"/>
  <c r="AH67" i="19"/>
  <c r="AJ67" i="19"/>
  <c r="AK67" i="19"/>
  <c r="AL67" i="19"/>
  <c r="AN67" i="19"/>
  <c r="N67" i="19"/>
  <c r="O55" i="19"/>
  <c r="P55" i="19"/>
  <c r="R55" i="19"/>
  <c r="S55" i="19"/>
  <c r="T55" i="19"/>
  <c r="U55" i="19"/>
  <c r="V55" i="19"/>
  <c r="W55" i="19"/>
  <c r="Y55" i="19"/>
  <c r="Z55" i="19"/>
  <c r="AA55" i="19"/>
  <c r="AB55" i="19"/>
  <c r="AC55" i="19"/>
  <c r="AD55" i="19"/>
  <c r="AF55" i="19"/>
  <c r="AG55" i="19"/>
  <c r="AH55" i="19"/>
  <c r="AJ55" i="19"/>
  <c r="AK55" i="19"/>
  <c r="AL55" i="19"/>
  <c r="AN55" i="19"/>
  <c r="N55" i="19"/>
  <c r="O43" i="19"/>
  <c r="P43" i="19"/>
  <c r="R43" i="19"/>
  <c r="S43" i="19"/>
  <c r="T43" i="19"/>
  <c r="U43" i="19"/>
  <c r="V43" i="19"/>
  <c r="W43" i="19"/>
  <c r="Y43" i="19"/>
  <c r="Z43" i="19"/>
  <c r="AA43" i="19"/>
  <c r="AB43" i="19"/>
  <c r="AC43" i="19"/>
  <c r="AD43" i="19"/>
  <c r="AF43" i="19"/>
  <c r="AG43" i="19"/>
  <c r="AH43" i="19"/>
  <c r="AJ43" i="19"/>
  <c r="AK43" i="19"/>
  <c r="AL43" i="19"/>
  <c r="AN43" i="19"/>
  <c r="N43" i="19"/>
  <c r="O19" i="19"/>
  <c r="P19" i="19"/>
  <c r="R19" i="19"/>
  <c r="S19" i="19"/>
  <c r="T19" i="19"/>
  <c r="U19" i="19"/>
  <c r="V19" i="19"/>
  <c r="W19" i="19"/>
  <c r="Y19" i="19"/>
  <c r="Z19" i="19"/>
  <c r="AA19" i="19"/>
  <c r="AB19" i="19"/>
  <c r="AC19" i="19"/>
  <c r="AD19" i="19"/>
  <c r="AF19" i="19"/>
  <c r="AG19" i="19"/>
  <c r="AH19" i="19"/>
  <c r="AJ19" i="19"/>
  <c r="AK19" i="19"/>
  <c r="AL19" i="19"/>
  <c r="AN19" i="19"/>
  <c r="N19" i="19"/>
  <c r="O31" i="19"/>
  <c r="P31" i="19"/>
  <c r="R31" i="19"/>
  <c r="S31" i="19"/>
  <c r="T31" i="19"/>
  <c r="U31" i="19"/>
  <c r="V31" i="19"/>
  <c r="W31" i="19"/>
  <c r="Y31" i="19"/>
  <c r="Z31" i="19"/>
  <c r="AA31" i="19"/>
  <c r="AB31" i="19"/>
  <c r="AC31" i="19"/>
  <c r="AD31" i="19"/>
  <c r="AF31" i="19"/>
  <c r="AG31" i="19"/>
  <c r="AH31" i="19"/>
  <c r="AJ31" i="19"/>
  <c r="AK31" i="19"/>
  <c r="AL31" i="19"/>
  <c r="AN31" i="19"/>
  <c r="N31" i="19"/>
  <c r="O78" i="19"/>
  <c r="P78" i="19"/>
  <c r="Q78" i="19"/>
  <c r="S78" i="19"/>
  <c r="T78" i="19"/>
  <c r="U78" i="19"/>
  <c r="V78" i="19"/>
  <c r="W78" i="19"/>
  <c r="X78" i="19"/>
  <c r="Z78" i="19"/>
  <c r="AA78" i="19"/>
  <c r="AB78" i="19"/>
  <c r="AC78" i="19"/>
  <c r="AD78" i="19"/>
  <c r="AE78" i="19"/>
  <c r="AG78" i="19"/>
  <c r="AH78" i="19"/>
  <c r="AI78" i="19"/>
  <c r="AK78" i="19"/>
  <c r="AL78" i="19"/>
  <c r="AM78" i="19"/>
  <c r="M78" i="19"/>
  <c r="O66" i="19"/>
  <c r="P66" i="19"/>
  <c r="Q66" i="19"/>
  <c r="S66" i="19"/>
  <c r="T66" i="19"/>
  <c r="U66" i="19"/>
  <c r="V66" i="19"/>
  <c r="W66" i="19"/>
  <c r="X66" i="19"/>
  <c r="Z66" i="19"/>
  <c r="AA66" i="19"/>
  <c r="AB66" i="19"/>
  <c r="AC66" i="19"/>
  <c r="AD66" i="19"/>
  <c r="AE66" i="19"/>
  <c r="AG66" i="19"/>
  <c r="AH66" i="19"/>
  <c r="AI66" i="19"/>
  <c r="AK66" i="19"/>
  <c r="AL66" i="19"/>
  <c r="AM66" i="19"/>
  <c r="M66" i="19"/>
  <c r="O54" i="19"/>
  <c r="P54" i="19"/>
  <c r="Q54" i="19"/>
  <c r="S54" i="19"/>
  <c r="T54" i="19"/>
  <c r="U54" i="19"/>
  <c r="V54" i="19"/>
  <c r="W54" i="19"/>
  <c r="X54" i="19"/>
  <c r="Z54" i="19"/>
  <c r="AA54" i="19"/>
  <c r="AB54" i="19"/>
  <c r="AC54" i="19"/>
  <c r="AD54" i="19"/>
  <c r="AE54" i="19"/>
  <c r="AG54" i="19"/>
  <c r="AH54" i="19"/>
  <c r="AI54" i="19"/>
  <c r="AK54" i="19"/>
  <c r="AL54" i="19"/>
  <c r="AM54" i="19"/>
  <c r="M54" i="19"/>
  <c r="O42" i="19"/>
  <c r="P42" i="19"/>
  <c r="Q42" i="19"/>
  <c r="S42" i="19"/>
  <c r="T42" i="19"/>
  <c r="U42" i="19"/>
  <c r="V42" i="19"/>
  <c r="W42" i="19"/>
  <c r="X42" i="19"/>
  <c r="Z42" i="19"/>
  <c r="AA42" i="19"/>
  <c r="AB42" i="19"/>
  <c r="AC42" i="19"/>
  <c r="AD42" i="19"/>
  <c r="AE42" i="19"/>
  <c r="AG42" i="19"/>
  <c r="AH42" i="19"/>
  <c r="AI42" i="19"/>
  <c r="AK42" i="19"/>
  <c r="AL42" i="19"/>
  <c r="AM42" i="19"/>
  <c r="M42" i="19"/>
  <c r="O30" i="19"/>
  <c r="P30" i="19"/>
  <c r="Q30" i="19"/>
  <c r="S30" i="19"/>
  <c r="T30" i="19"/>
  <c r="U30" i="19"/>
  <c r="V30" i="19"/>
  <c r="W30" i="19"/>
  <c r="X30" i="19"/>
  <c r="Z30" i="19"/>
  <c r="AA30" i="19"/>
  <c r="AB30" i="19"/>
  <c r="AC30" i="19"/>
  <c r="AD30" i="19"/>
  <c r="AE30" i="19"/>
  <c r="AG30" i="19"/>
  <c r="AH30" i="19"/>
  <c r="AI30" i="19"/>
  <c r="AK30" i="19"/>
  <c r="AL30" i="19"/>
  <c r="AM30" i="19"/>
  <c r="M30" i="19"/>
  <c r="Q18" i="19"/>
  <c r="X18" i="19"/>
  <c r="AE18" i="19"/>
  <c r="AI18" i="19"/>
  <c r="AM18" i="19"/>
  <c r="O18" i="19"/>
  <c r="P18" i="19"/>
  <c r="S18" i="19"/>
  <c r="T18" i="19"/>
  <c r="U18" i="19"/>
  <c r="V18" i="19"/>
  <c r="W18" i="19"/>
  <c r="Z18" i="19"/>
  <c r="AA18" i="19"/>
  <c r="AB18" i="19"/>
  <c r="AC18" i="19"/>
  <c r="AD18" i="19"/>
  <c r="AG18" i="19"/>
  <c r="AH18" i="19"/>
  <c r="AK18" i="19"/>
  <c r="AL18" i="19"/>
  <c r="M18" i="19"/>
  <c r="C20" i="3" l="1"/>
  <c r="C76" i="21"/>
  <c r="G20" i="3"/>
  <c r="G76" i="21"/>
  <c r="D85" i="3"/>
  <c r="D116" i="21"/>
  <c r="H21" i="3"/>
  <c r="H77" i="21"/>
  <c r="C19" i="3"/>
  <c r="C75" i="21"/>
  <c r="H19" i="3"/>
  <c r="H75" i="21"/>
  <c r="G19" i="3"/>
  <c r="G75" i="21"/>
  <c r="E22" i="3"/>
  <c r="E78" i="21"/>
  <c r="D18" i="3"/>
  <c r="D74" i="21"/>
  <c r="E20" i="3"/>
  <c r="E76" i="21"/>
  <c r="H18" i="3"/>
  <c r="H74" i="21"/>
  <c r="D23" i="3"/>
  <c r="D79" i="21"/>
  <c r="F21" i="3"/>
  <c r="F77" i="21"/>
  <c r="G23" i="3"/>
  <c r="G79" i="21"/>
  <c r="D86" i="3"/>
  <c r="D117" i="21"/>
  <c r="D19" i="3"/>
  <c r="D75" i="21"/>
  <c r="C18" i="3"/>
  <c r="C74" i="21"/>
  <c r="E18" i="3"/>
  <c r="E74" i="21"/>
  <c r="F20" i="3"/>
  <c r="F76" i="21"/>
  <c r="E85" i="3"/>
  <c r="E116" i="21"/>
  <c r="D21" i="3"/>
  <c r="D77" i="21"/>
  <c r="C23" i="3"/>
  <c r="C79" i="21"/>
  <c r="G21" i="3"/>
  <c r="G77" i="21"/>
  <c r="H23" i="3"/>
  <c r="H79" i="21"/>
  <c r="F19" i="3"/>
  <c r="F75" i="21"/>
  <c r="C85" i="3"/>
  <c r="C116" i="21"/>
  <c r="C22" i="3"/>
  <c r="C78" i="21"/>
  <c r="H22" i="3"/>
  <c r="H78" i="21"/>
  <c r="C21" i="3"/>
  <c r="C77" i="21"/>
  <c r="G18" i="3"/>
  <c r="G74" i="21"/>
  <c r="F18" i="3"/>
  <c r="F74" i="21"/>
  <c r="E23" i="3"/>
  <c r="E79" i="21"/>
  <c r="F22" i="3"/>
  <c r="F78" i="21"/>
  <c r="C86" i="3"/>
  <c r="C117" i="21"/>
  <c r="D20" i="3"/>
  <c r="D76" i="21"/>
  <c r="H20" i="3"/>
  <c r="K115" i="3" s="1"/>
  <c r="H76" i="21"/>
  <c r="E21" i="3"/>
  <c r="E77" i="21"/>
  <c r="F23" i="3"/>
  <c r="F79" i="21"/>
  <c r="E86" i="3"/>
  <c r="E117" i="21"/>
  <c r="E19" i="3"/>
  <c r="E114" i="3" s="1"/>
  <c r="E75" i="21"/>
  <c r="D22" i="3"/>
  <c r="D78" i="21"/>
  <c r="G22" i="3"/>
  <c r="G78" i="21"/>
  <c r="E37" i="21" l="1"/>
  <c r="G38" i="21"/>
  <c r="G36" i="21"/>
  <c r="C148" i="3"/>
  <c r="R114" i="3"/>
  <c r="E115" i="3"/>
  <c r="H114" i="3"/>
  <c r="G115" i="3"/>
  <c r="F115" i="3"/>
  <c r="G113" i="3"/>
  <c r="C115" i="3"/>
  <c r="H37" i="21"/>
  <c r="F37" i="21"/>
  <c r="G114" i="3"/>
  <c r="I114" i="3"/>
  <c r="X114" i="3"/>
  <c r="H115" i="3"/>
  <c r="T115" i="3"/>
  <c r="Y114" i="3"/>
  <c r="R115" i="3"/>
  <c r="M113" i="3"/>
  <c r="Q115" i="3"/>
  <c r="I115" i="3"/>
  <c r="Z114" i="3"/>
  <c r="Q114" i="3"/>
  <c r="P114" i="3"/>
  <c r="O114" i="3"/>
  <c r="D114" i="3"/>
  <c r="X113" i="3"/>
  <c r="P113" i="3"/>
  <c r="AB115" i="3"/>
  <c r="N113" i="3"/>
  <c r="C149" i="3"/>
  <c r="E113" i="3"/>
  <c r="F114" i="3"/>
  <c r="C113" i="3"/>
  <c r="D113" i="3"/>
  <c r="N114" i="3"/>
  <c r="P115" i="3"/>
  <c r="J113" i="3"/>
  <c r="E38" i="21"/>
  <c r="M114" i="3"/>
  <c r="O115" i="3"/>
  <c r="H113" i="3"/>
  <c r="C150" i="3"/>
  <c r="I113" i="3"/>
  <c r="AB114" i="3"/>
  <c r="T114" i="3"/>
  <c r="K114" i="3"/>
  <c r="W115" i="3"/>
  <c r="L115" i="3"/>
  <c r="U113" i="3"/>
  <c r="W114" i="3"/>
  <c r="Z115" i="3"/>
  <c r="Z113" i="3"/>
  <c r="V114" i="3"/>
  <c r="Y115" i="3"/>
  <c r="D115" i="3"/>
  <c r="F113" i="3"/>
  <c r="C114" i="3"/>
  <c r="U114" i="3"/>
  <c r="L114" i="3"/>
  <c r="X115" i="3"/>
  <c r="N115" i="3"/>
  <c r="V113" i="3"/>
  <c r="AA114" i="3"/>
  <c r="S114" i="3"/>
  <c r="J114" i="3"/>
  <c r="V115" i="3"/>
  <c r="J115" i="3"/>
  <c r="R113" i="3"/>
  <c r="I38" i="21"/>
  <c r="J38" i="21"/>
  <c r="K38" i="21"/>
  <c r="L38" i="21"/>
  <c r="M38" i="21"/>
  <c r="N38" i="21"/>
  <c r="O38" i="21"/>
  <c r="P38" i="21"/>
  <c r="Q38" i="21"/>
  <c r="R38" i="21"/>
  <c r="S38" i="21"/>
  <c r="T38" i="21"/>
  <c r="U38" i="21"/>
  <c r="V38" i="21"/>
  <c r="W38" i="21"/>
  <c r="X38" i="21"/>
  <c r="Y38" i="21"/>
  <c r="Z38" i="21"/>
  <c r="AA38" i="21"/>
  <c r="AB38" i="21"/>
  <c r="AC38" i="21"/>
  <c r="D62" i="21"/>
  <c r="E35" i="1" s="1"/>
  <c r="W113" i="3"/>
  <c r="O113" i="3"/>
  <c r="I36" i="21"/>
  <c r="J36" i="21"/>
  <c r="K36" i="21"/>
  <c r="L36" i="21"/>
  <c r="M36" i="21"/>
  <c r="N36" i="21"/>
  <c r="O36" i="21"/>
  <c r="P36" i="21"/>
  <c r="Q36" i="21"/>
  <c r="R36" i="21"/>
  <c r="S36" i="21"/>
  <c r="T36" i="21"/>
  <c r="U36" i="21"/>
  <c r="V36" i="21"/>
  <c r="W36" i="21"/>
  <c r="X36" i="21"/>
  <c r="Y36" i="21"/>
  <c r="Z36" i="21"/>
  <c r="AA36" i="21"/>
  <c r="AB36" i="21"/>
  <c r="AC36" i="21"/>
  <c r="D61" i="21"/>
  <c r="D35" i="1" s="1"/>
  <c r="AB113" i="3"/>
  <c r="T113" i="3"/>
  <c r="L113" i="3"/>
  <c r="H36" i="21"/>
  <c r="D60" i="21"/>
  <c r="C35" i="1" s="1"/>
  <c r="F36" i="21"/>
  <c r="F38" i="21"/>
  <c r="I37" i="21"/>
  <c r="J37" i="21"/>
  <c r="K37" i="21"/>
  <c r="L37" i="21"/>
  <c r="M37" i="21"/>
  <c r="N37" i="21"/>
  <c r="O37" i="21"/>
  <c r="P37" i="21"/>
  <c r="Q37" i="21"/>
  <c r="R37" i="21"/>
  <c r="S37" i="21"/>
  <c r="T37" i="21"/>
  <c r="U37" i="21"/>
  <c r="V37" i="21"/>
  <c r="W37" i="21"/>
  <c r="X37" i="21"/>
  <c r="Y37" i="21"/>
  <c r="Z37" i="21"/>
  <c r="AA37" i="21"/>
  <c r="AB37" i="21"/>
  <c r="AC37" i="21"/>
  <c r="H38" i="21"/>
  <c r="U115" i="3"/>
  <c r="M115" i="3"/>
  <c r="AA113" i="3"/>
  <c r="S113" i="3"/>
  <c r="K113" i="3"/>
  <c r="G37" i="21"/>
  <c r="E36" i="21"/>
  <c r="AA115" i="3"/>
  <c r="S115" i="3"/>
  <c r="Y113" i="3"/>
  <c r="Q113" i="3"/>
  <c r="E38" i="1"/>
  <c r="C38" i="1"/>
  <c r="D50" i="2"/>
  <c r="G39" i="21" l="1"/>
  <c r="G53" i="21" s="1"/>
  <c r="F24" i="1" s="1"/>
  <c r="E39" i="21"/>
  <c r="E41" i="21" s="1"/>
  <c r="V39" i="21"/>
  <c r="N39" i="21"/>
  <c r="H39" i="21"/>
  <c r="P39" i="21"/>
  <c r="W39" i="21"/>
  <c r="O39" i="21"/>
  <c r="X39" i="21"/>
  <c r="AC39" i="21"/>
  <c r="AC53" i="21" s="1"/>
  <c r="AB24" i="1" s="1"/>
  <c r="U39" i="21"/>
  <c r="M39" i="21"/>
  <c r="M53" i="21" s="1"/>
  <c r="L24" i="1" s="1"/>
  <c r="F39" i="21"/>
  <c r="F53" i="21" s="1"/>
  <c r="E24" i="1" s="1"/>
  <c r="AB39" i="21"/>
  <c r="T39" i="21"/>
  <c r="L39" i="21"/>
  <c r="L53" i="21" s="1"/>
  <c r="K24" i="1" s="1"/>
  <c r="AA39" i="21"/>
  <c r="S39" i="21"/>
  <c r="S53" i="21" s="1"/>
  <c r="R24" i="1" s="1"/>
  <c r="K39" i="21"/>
  <c r="K53" i="21" s="1"/>
  <c r="J24" i="1" s="1"/>
  <c r="Z39" i="21"/>
  <c r="R39" i="21"/>
  <c r="R53" i="21" s="1"/>
  <c r="Q24" i="1" s="1"/>
  <c r="J39" i="21"/>
  <c r="J53" i="21" s="1"/>
  <c r="I24" i="1" s="1"/>
  <c r="Y39" i="21"/>
  <c r="Q39" i="21"/>
  <c r="Q53" i="21" s="1"/>
  <c r="P24" i="1" s="1"/>
  <c r="I39" i="21"/>
  <c r="I53" i="21" s="1"/>
  <c r="H24" i="1" s="1"/>
  <c r="C109" i="2"/>
  <c r="D38" i="1" s="1"/>
  <c r="C15" i="15"/>
  <c r="C28" i="4" s="1"/>
  <c r="O53" i="21" l="1"/>
  <c r="N24" i="1" s="1"/>
  <c r="P53" i="21"/>
  <c r="O24" i="1" s="1"/>
  <c r="T53" i="21"/>
  <c r="S24" i="1" s="1"/>
  <c r="AB53" i="21"/>
  <c r="AA24" i="1" s="1"/>
  <c r="W53" i="21"/>
  <c r="V24" i="1" s="1"/>
  <c r="Z53" i="21"/>
  <c r="Y24" i="1" s="1"/>
  <c r="H53" i="21"/>
  <c r="G24" i="1" s="1"/>
  <c r="AA53" i="21"/>
  <c r="Z24" i="1" s="1"/>
  <c r="V53" i="21"/>
  <c r="U24" i="1" s="1"/>
  <c r="U53" i="21"/>
  <c r="T24" i="1" s="1"/>
  <c r="N53" i="21"/>
  <c r="M24" i="1" s="1"/>
  <c r="X53" i="21"/>
  <c r="W24" i="1" s="1"/>
  <c r="Y53" i="21"/>
  <c r="X24" i="1" s="1"/>
  <c r="E40" i="21"/>
  <c r="E53" i="21"/>
  <c r="D24" i="1" s="1"/>
  <c r="E54" i="21"/>
  <c r="H41" i="21"/>
  <c r="I41" i="21"/>
  <c r="M41" i="21"/>
  <c r="K41" i="21"/>
  <c r="P41" i="21"/>
  <c r="G41" i="21"/>
  <c r="Y41" i="21"/>
  <c r="R41" i="21"/>
  <c r="J41" i="21"/>
  <c r="AC41" i="21"/>
  <c r="U41" i="21"/>
  <c r="Z41" i="21"/>
  <c r="T41" i="21"/>
  <c r="AB41" i="21"/>
  <c r="O41" i="21"/>
  <c r="F41" i="21"/>
  <c r="V41" i="21"/>
  <c r="X41" i="21"/>
  <c r="S41" i="21"/>
  <c r="AA41" i="21"/>
  <c r="N41" i="21"/>
  <c r="Q41" i="21"/>
  <c r="L41" i="21"/>
  <c r="W41" i="21"/>
  <c r="L131" i="3"/>
  <c r="L133" i="3"/>
  <c r="L132" i="3"/>
  <c r="V132" i="3"/>
  <c r="V133" i="3"/>
  <c r="U131" i="3"/>
  <c r="U132" i="3"/>
  <c r="U133" i="3"/>
  <c r="H131" i="3"/>
  <c r="H133" i="3"/>
  <c r="H132" i="3"/>
  <c r="N131" i="3"/>
  <c r="N132" i="3"/>
  <c r="N133" i="3"/>
  <c r="W131" i="3"/>
  <c r="W133" i="3"/>
  <c r="W132" i="3"/>
  <c r="S131" i="3"/>
  <c r="S132" i="3"/>
  <c r="S133" i="3"/>
  <c r="I131" i="3"/>
  <c r="I132" i="3"/>
  <c r="I133" i="3"/>
  <c r="P131" i="3"/>
  <c r="P132" i="3"/>
  <c r="P133" i="3"/>
  <c r="R131" i="3"/>
  <c r="R132" i="3"/>
  <c r="R133" i="3"/>
  <c r="T131" i="3"/>
  <c r="T132" i="3"/>
  <c r="T133" i="3"/>
  <c r="K131" i="3"/>
  <c r="K132" i="3"/>
  <c r="K133" i="3"/>
  <c r="Q131" i="3"/>
  <c r="Q133" i="3"/>
  <c r="Q132" i="3"/>
  <c r="M131" i="3"/>
  <c r="M132" i="3"/>
  <c r="M133" i="3"/>
  <c r="AB131" i="3"/>
  <c r="AB132" i="3"/>
  <c r="AB133" i="3"/>
  <c r="X131" i="3"/>
  <c r="X133" i="3"/>
  <c r="X132" i="3"/>
  <c r="J131" i="3"/>
  <c r="J132" i="3"/>
  <c r="J133" i="3"/>
  <c r="O131" i="3"/>
  <c r="O133" i="3"/>
  <c r="O132" i="3"/>
  <c r="Z131" i="3"/>
  <c r="Z133" i="3"/>
  <c r="Z132" i="3"/>
  <c r="Y131" i="3"/>
  <c r="Y133" i="3"/>
  <c r="Y132" i="3"/>
  <c r="AA131" i="3"/>
  <c r="AA132" i="3"/>
  <c r="AA133" i="3"/>
  <c r="C14" i="4"/>
  <c r="C15" i="4"/>
  <c r="F40" i="21" l="1"/>
  <c r="E55" i="21"/>
  <c r="D14" i="1"/>
  <c r="H91" i="4"/>
  <c r="P54" i="21"/>
  <c r="Z54" i="21"/>
  <c r="Y54" i="21"/>
  <c r="U54" i="21"/>
  <c r="K54" i="21"/>
  <c r="W54" i="21"/>
  <c r="AC54" i="21"/>
  <c r="M54" i="21"/>
  <c r="O54" i="21"/>
  <c r="S54" i="21"/>
  <c r="L54" i="21"/>
  <c r="X54" i="21"/>
  <c r="T54" i="21"/>
  <c r="J54" i="21"/>
  <c r="I54" i="21"/>
  <c r="N54" i="21"/>
  <c r="F54" i="21"/>
  <c r="AA54" i="21"/>
  <c r="G54" i="21"/>
  <c r="AB54" i="21"/>
  <c r="Q54" i="21"/>
  <c r="V54" i="21"/>
  <c r="R54" i="21"/>
  <c r="H54" i="21"/>
  <c r="D15" i="4"/>
  <c r="D14" i="4"/>
  <c r="D91" i="4" s="1"/>
  <c r="C24" i="15"/>
  <c r="C19" i="4" s="1"/>
  <c r="G83" i="4" s="1"/>
  <c r="C23" i="15"/>
  <c r="C18" i="4" s="1"/>
  <c r="C17" i="4"/>
  <c r="D89" i="2"/>
  <c r="E89" i="2"/>
  <c r="F89" i="2"/>
  <c r="G89" i="2"/>
  <c r="H89" i="2"/>
  <c r="I89" i="2"/>
  <c r="J89" i="2"/>
  <c r="K89" i="2"/>
  <c r="L89" i="2"/>
  <c r="M89" i="2"/>
  <c r="N89" i="2"/>
  <c r="O89" i="2"/>
  <c r="P89" i="2"/>
  <c r="Q89" i="2"/>
  <c r="R89" i="2"/>
  <c r="S89" i="2"/>
  <c r="T89" i="2"/>
  <c r="U89" i="2"/>
  <c r="V89" i="2"/>
  <c r="W89" i="2"/>
  <c r="X89" i="2"/>
  <c r="Y89" i="2"/>
  <c r="Z89" i="2"/>
  <c r="AA89" i="2"/>
  <c r="AB89" i="2"/>
  <c r="C89" i="2"/>
  <c r="C91" i="2" s="1"/>
  <c r="G40" i="21" l="1"/>
  <c r="F55" i="21"/>
  <c r="J14" i="1"/>
  <c r="X14" i="1"/>
  <c r="W14" i="1"/>
  <c r="AA14" i="1"/>
  <c r="K14" i="1"/>
  <c r="O14" i="1"/>
  <c r="T14" i="1"/>
  <c r="R14" i="1"/>
  <c r="G14" i="1"/>
  <c r="S14" i="1"/>
  <c r="F14" i="1"/>
  <c r="Y14" i="1"/>
  <c r="N14" i="1"/>
  <c r="L14" i="1"/>
  <c r="Q14" i="1"/>
  <c r="H14" i="1"/>
  <c r="C4" i="1" s="1"/>
  <c r="AB14" i="1"/>
  <c r="D4" i="1" s="1"/>
  <c r="P14" i="1"/>
  <c r="Z14" i="1"/>
  <c r="E14" i="1"/>
  <c r="M14" i="1"/>
  <c r="U14" i="1"/>
  <c r="I14" i="1"/>
  <c r="V14" i="1"/>
  <c r="M91" i="4"/>
  <c r="AA91" i="4"/>
  <c r="S91" i="4"/>
  <c r="X91" i="4"/>
  <c r="P91" i="4"/>
  <c r="C91" i="4"/>
  <c r="D93" i="4" s="1"/>
  <c r="K91" i="4"/>
  <c r="Z91" i="4"/>
  <c r="R91" i="4"/>
  <c r="J91" i="4"/>
  <c r="Y91" i="4"/>
  <c r="Q91" i="4"/>
  <c r="I91" i="4"/>
  <c r="W91" i="4"/>
  <c r="O91" i="4"/>
  <c r="F91" i="4"/>
  <c r="V91" i="4"/>
  <c r="N91" i="4"/>
  <c r="G91" i="4"/>
  <c r="U91" i="4"/>
  <c r="E91" i="4"/>
  <c r="AB91" i="4"/>
  <c r="T91" i="4"/>
  <c r="L91" i="4"/>
  <c r="K98" i="4"/>
  <c r="L98" i="4"/>
  <c r="H98" i="4"/>
  <c r="X83" i="4"/>
  <c r="N98" i="4"/>
  <c r="V98" i="4"/>
  <c r="G98" i="4"/>
  <c r="AB83" i="4"/>
  <c r="T98" i="4"/>
  <c r="Z83" i="4"/>
  <c r="F83" i="4"/>
  <c r="P98" i="4"/>
  <c r="W98" i="4"/>
  <c r="V83" i="4"/>
  <c r="J98" i="4"/>
  <c r="AB98" i="4"/>
  <c r="Z98" i="4"/>
  <c r="R98" i="4"/>
  <c r="R83" i="4"/>
  <c r="X98" i="4"/>
  <c r="P83" i="4"/>
  <c r="F98" i="4"/>
  <c r="N83" i="4"/>
  <c r="J83" i="4"/>
  <c r="T83" i="4"/>
  <c r="L83" i="4"/>
  <c r="H83" i="4"/>
  <c r="C98" i="4"/>
  <c r="W83" i="4"/>
  <c r="S83" i="4"/>
  <c r="M98" i="4"/>
  <c r="I98" i="4"/>
  <c r="E98" i="4"/>
  <c r="I83" i="4"/>
  <c r="D98" i="4"/>
  <c r="Y98" i="4"/>
  <c r="U83" i="4"/>
  <c r="Q98" i="4"/>
  <c r="O83" i="4"/>
  <c r="M83" i="4"/>
  <c r="K83" i="4"/>
  <c r="D83" i="4"/>
  <c r="AA83" i="4"/>
  <c r="E83" i="4"/>
  <c r="AA98" i="4"/>
  <c r="Y83" i="4"/>
  <c r="U98" i="4"/>
  <c r="S98" i="4"/>
  <c r="Q83" i="4"/>
  <c r="O98" i="4"/>
  <c r="V91" i="2"/>
  <c r="V92" i="2"/>
  <c r="V90" i="2"/>
  <c r="AA91" i="2"/>
  <c r="AA92" i="2"/>
  <c r="AA90" i="2"/>
  <c r="S92" i="2"/>
  <c r="S90" i="2"/>
  <c r="S91" i="2"/>
  <c r="K92" i="2"/>
  <c r="K90" i="2"/>
  <c r="K91" i="2"/>
  <c r="AB90" i="2"/>
  <c r="AB91" i="2"/>
  <c r="AB92" i="2"/>
  <c r="J90" i="2"/>
  <c r="J91" i="2"/>
  <c r="J92" i="2"/>
  <c r="L92" i="2"/>
  <c r="L91" i="2"/>
  <c r="L90" i="2"/>
  <c r="I90" i="2"/>
  <c r="I91" i="2"/>
  <c r="I92" i="2"/>
  <c r="Z91" i="2"/>
  <c r="Z92" i="2"/>
  <c r="Z90" i="2"/>
  <c r="Y92" i="2"/>
  <c r="Y90" i="2"/>
  <c r="Y91" i="2"/>
  <c r="P91" i="2"/>
  <c r="P90" i="2"/>
  <c r="P92" i="2"/>
  <c r="H91" i="2"/>
  <c r="H90" i="2"/>
  <c r="H92" i="2"/>
  <c r="T92" i="2"/>
  <c r="T91" i="2"/>
  <c r="T90" i="2"/>
  <c r="R90" i="2"/>
  <c r="R92" i="2"/>
  <c r="R91" i="2"/>
  <c r="Q90" i="2"/>
  <c r="Q92" i="2"/>
  <c r="Q91" i="2"/>
  <c r="X92" i="2"/>
  <c r="X90" i="2"/>
  <c r="X91" i="2"/>
  <c r="W90" i="2"/>
  <c r="W91" i="2"/>
  <c r="W92" i="2"/>
  <c r="O91" i="2"/>
  <c r="O92" i="2"/>
  <c r="O90" i="2"/>
  <c r="N91" i="2"/>
  <c r="N92" i="2"/>
  <c r="N90" i="2"/>
  <c r="U92" i="2"/>
  <c r="U90" i="2"/>
  <c r="U91" i="2"/>
  <c r="M92" i="2"/>
  <c r="M91" i="2"/>
  <c r="M90" i="2"/>
  <c r="D18" i="4"/>
  <c r="W82" i="4" s="1"/>
  <c r="Y74" i="2"/>
  <c r="G73" i="2"/>
  <c r="J72" i="2"/>
  <c r="Q74" i="2"/>
  <c r="X74" i="2"/>
  <c r="H74" i="2"/>
  <c r="O73" i="2"/>
  <c r="F72" i="2"/>
  <c r="M74" i="2"/>
  <c r="Z74" i="2"/>
  <c r="I74" i="2"/>
  <c r="P74" i="2"/>
  <c r="W73" i="2"/>
  <c r="N74" i="2"/>
  <c r="C73" i="2"/>
  <c r="U74" i="2"/>
  <c r="E74" i="2"/>
  <c r="AB74" i="2"/>
  <c r="T74" i="2"/>
  <c r="L74" i="2"/>
  <c r="D74" i="2"/>
  <c r="AA73" i="2"/>
  <c r="S73" i="2"/>
  <c r="K73" i="2"/>
  <c r="E37" i="1"/>
  <c r="D37" i="1"/>
  <c r="C37" i="1"/>
  <c r="D17" i="4"/>
  <c r="F81" i="4" s="1"/>
  <c r="D19" i="4"/>
  <c r="C83" i="4" s="1"/>
  <c r="M72" i="2"/>
  <c r="N72" i="2"/>
  <c r="V74" i="2"/>
  <c r="G74" i="2"/>
  <c r="U73" i="2"/>
  <c r="I72" i="2"/>
  <c r="N73" i="2"/>
  <c r="W74" i="2"/>
  <c r="E72" i="2"/>
  <c r="M73" i="2"/>
  <c r="V73" i="2"/>
  <c r="V72" i="2"/>
  <c r="F73" i="2"/>
  <c r="F74" i="2"/>
  <c r="U72" i="2"/>
  <c r="E73" i="2"/>
  <c r="Z72" i="2"/>
  <c r="Z73" i="2"/>
  <c r="J73" i="2"/>
  <c r="S74" i="2"/>
  <c r="Y73" i="2"/>
  <c r="R74" i="2"/>
  <c r="R72" i="2"/>
  <c r="R73" i="2"/>
  <c r="AA74" i="2"/>
  <c r="K74" i="2"/>
  <c r="Y72" i="2"/>
  <c r="I73" i="2"/>
  <c r="O74" i="2"/>
  <c r="Q72" i="2"/>
  <c r="Q73" i="2"/>
  <c r="J74" i="2"/>
  <c r="H72" i="2"/>
  <c r="G72" i="2"/>
  <c r="X72" i="2"/>
  <c r="P72" i="2"/>
  <c r="X73" i="2"/>
  <c r="P73" i="2"/>
  <c r="H73" i="2"/>
  <c r="W72" i="2"/>
  <c r="O72" i="2"/>
  <c r="L72" i="2"/>
  <c r="K72" i="2"/>
  <c r="AB72" i="2"/>
  <c r="T72" i="2"/>
  <c r="AB73" i="2"/>
  <c r="T73" i="2"/>
  <c r="L73" i="2"/>
  <c r="D73" i="2"/>
  <c r="D72" i="2"/>
  <c r="AA72" i="2"/>
  <c r="S72" i="2"/>
  <c r="C72" i="2"/>
  <c r="C74" i="2"/>
  <c r="H40" i="21" l="1"/>
  <c r="G55" i="21"/>
  <c r="V93" i="4"/>
  <c r="E93" i="4"/>
  <c r="J93" i="4"/>
  <c r="C92" i="4"/>
  <c r="D92" i="4" s="1"/>
  <c r="E92" i="4" s="1"/>
  <c r="F92" i="4" s="1"/>
  <c r="G92" i="4" s="1"/>
  <c r="H92" i="4" s="1"/>
  <c r="I92" i="4" s="1"/>
  <c r="J92" i="4" s="1"/>
  <c r="K92" i="4" s="1"/>
  <c r="L92" i="4" s="1"/>
  <c r="M92" i="4" s="1"/>
  <c r="N92" i="4" s="1"/>
  <c r="O92" i="4" s="1"/>
  <c r="P92" i="4" s="1"/>
  <c r="Q92" i="4" s="1"/>
  <c r="R92" i="4" s="1"/>
  <c r="S92" i="4" s="1"/>
  <c r="T92" i="4" s="1"/>
  <c r="U92" i="4" s="1"/>
  <c r="V92" i="4" s="1"/>
  <c r="W92" i="4" s="1"/>
  <c r="X92" i="4" s="1"/>
  <c r="Y92" i="4" s="1"/>
  <c r="Z92" i="4" s="1"/>
  <c r="AA92" i="4" s="1"/>
  <c r="AB92" i="4" s="1"/>
  <c r="Y93" i="4"/>
  <c r="C93" i="4"/>
  <c r="O93" i="4"/>
  <c r="P93" i="4"/>
  <c r="AA93" i="4"/>
  <c r="I93" i="4"/>
  <c r="AB93" i="4"/>
  <c r="X93" i="4"/>
  <c r="L93" i="4"/>
  <c r="R93" i="4"/>
  <c r="K93" i="4"/>
  <c r="N93" i="4"/>
  <c r="Z93" i="4"/>
  <c r="H93" i="4"/>
  <c r="T93" i="4"/>
  <c r="Q93" i="4"/>
  <c r="W93" i="4"/>
  <c r="G93" i="4"/>
  <c r="M93" i="4"/>
  <c r="S93" i="4"/>
  <c r="F93" i="4"/>
  <c r="U93" i="4"/>
  <c r="Q81" i="4"/>
  <c r="AA81" i="4"/>
  <c r="E81" i="4"/>
  <c r="M81" i="4"/>
  <c r="S81" i="4"/>
  <c r="N81" i="4"/>
  <c r="C81" i="4"/>
  <c r="G81" i="4"/>
  <c r="Y81" i="4"/>
  <c r="P82" i="4"/>
  <c r="E82" i="4"/>
  <c r="W81" i="4"/>
  <c r="K81" i="4"/>
  <c r="R81" i="4"/>
  <c r="X81" i="4"/>
  <c r="G82" i="4"/>
  <c r="I82" i="4"/>
  <c r="AA82" i="4"/>
  <c r="I81" i="4"/>
  <c r="O81" i="4"/>
  <c r="X82" i="4"/>
  <c r="C82" i="4"/>
  <c r="K82" i="4"/>
  <c r="Q82" i="4"/>
  <c r="U82" i="4"/>
  <c r="N82" i="4"/>
  <c r="V82" i="4"/>
  <c r="M82" i="4"/>
  <c r="O82" i="4"/>
  <c r="Y82" i="4"/>
  <c r="AB82" i="4"/>
  <c r="F82" i="4"/>
  <c r="T82" i="4"/>
  <c r="R82" i="4"/>
  <c r="Z82" i="4"/>
  <c r="L82" i="4"/>
  <c r="H82" i="4"/>
  <c r="D82" i="4"/>
  <c r="P81" i="4"/>
  <c r="V81" i="4"/>
  <c r="AB81" i="4"/>
  <c r="D81" i="4"/>
  <c r="J81" i="4"/>
  <c r="T81" i="4"/>
  <c r="Z81" i="4"/>
  <c r="L81" i="4"/>
  <c r="H81" i="4"/>
  <c r="S82" i="4"/>
  <c r="U81" i="4"/>
  <c r="J82" i="4"/>
  <c r="Z99" i="4"/>
  <c r="Z101" i="4"/>
  <c r="Z100" i="4"/>
  <c r="J100" i="4"/>
  <c r="J99" i="4"/>
  <c r="J101" i="4"/>
  <c r="Y99" i="4"/>
  <c r="Y101" i="4"/>
  <c r="Y100" i="4"/>
  <c r="Q99" i="4"/>
  <c r="Q100" i="4"/>
  <c r="Q101" i="4"/>
  <c r="W100" i="4"/>
  <c r="W101" i="4"/>
  <c r="W99" i="4"/>
  <c r="P100" i="4"/>
  <c r="P101" i="4"/>
  <c r="P99" i="4"/>
  <c r="V100" i="4"/>
  <c r="V99" i="4"/>
  <c r="V101" i="4"/>
  <c r="U101" i="4"/>
  <c r="U99" i="4"/>
  <c r="U100" i="4"/>
  <c r="K101" i="4"/>
  <c r="K99" i="4"/>
  <c r="K100" i="4"/>
  <c r="S101" i="4"/>
  <c r="S99" i="4"/>
  <c r="S100" i="4"/>
  <c r="T101" i="4"/>
  <c r="T99" i="4"/>
  <c r="T100" i="4"/>
  <c r="L101" i="4"/>
  <c r="L99" i="4"/>
  <c r="L100" i="4"/>
  <c r="H100" i="4"/>
  <c r="H101" i="4"/>
  <c r="H99" i="4"/>
  <c r="R99" i="4"/>
  <c r="R100" i="4"/>
  <c r="R101" i="4"/>
  <c r="O100" i="4"/>
  <c r="O101" i="4"/>
  <c r="O99" i="4"/>
  <c r="N100" i="4"/>
  <c r="N101" i="4"/>
  <c r="N99" i="4"/>
  <c r="X101" i="4"/>
  <c r="X99" i="4"/>
  <c r="X100" i="4"/>
  <c r="AA100" i="4"/>
  <c r="AA101" i="4"/>
  <c r="AA99" i="4"/>
  <c r="M101" i="4"/>
  <c r="M100" i="4"/>
  <c r="M99" i="4"/>
  <c r="I99" i="4"/>
  <c r="I100" i="4"/>
  <c r="I101" i="4"/>
  <c r="AB101" i="4"/>
  <c r="AB100" i="4"/>
  <c r="AB99" i="4"/>
  <c r="S75" i="2"/>
  <c r="K75" i="2"/>
  <c r="V93" i="2"/>
  <c r="T75" i="2"/>
  <c r="Q75" i="2"/>
  <c r="I75" i="2"/>
  <c r="V75" i="2"/>
  <c r="P75" i="2"/>
  <c r="X75" i="2"/>
  <c r="Y75" i="2"/>
  <c r="D75" i="2"/>
  <c r="L75" i="2"/>
  <c r="G75" i="2"/>
  <c r="N75" i="2"/>
  <c r="F75" i="2"/>
  <c r="C75" i="2"/>
  <c r="R93" i="2"/>
  <c r="O75" i="2"/>
  <c r="Z75" i="2"/>
  <c r="M75" i="2"/>
  <c r="W75" i="2"/>
  <c r="J75" i="2"/>
  <c r="AB75" i="2"/>
  <c r="AA75" i="2"/>
  <c r="H75" i="2"/>
  <c r="E75" i="2"/>
  <c r="R75" i="2"/>
  <c r="U75" i="2"/>
  <c r="C99" i="4"/>
  <c r="C101" i="4"/>
  <c r="C100" i="4"/>
  <c r="F99" i="4"/>
  <c r="F101" i="4"/>
  <c r="F100" i="4"/>
  <c r="D99" i="4"/>
  <c r="D101" i="4"/>
  <c r="D100" i="4"/>
  <c r="G99" i="4"/>
  <c r="G101" i="4"/>
  <c r="G100" i="4"/>
  <c r="E99" i="4"/>
  <c r="E101" i="4"/>
  <c r="E100" i="4"/>
  <c r="F92" i="2"/>
  <c r="F91" i="2"/>
  <c r="F90" i="2"/>
  <c r="E92" i="2"/>
  <c r="E91" i="2"/>
  <c r="E90" i="2"/>
  <c r="C92" i="2"/>
  <c r="C90" i="2"/>
  <c r="D91" i="2"/>
  <c r="D90" i="2"/>
  <c r="D92" i="2"/>
  <c r="G92" i="2"/>
  <c r="G90" i="2"/>
  <c r="G91" i="2"/>
  <c r="I40" i="21" l="1"/>
  <c r="H55" i="21"/>
  <c r="R100" i="2"/>
  <c r="R27" i="1" s="1"/>
  <c r="V100" i="2"/>
  <c r="V27" i="1" s="1"/>
  <c r="C83" i="2"/>
  <c r="D83" i="2" s="1"/>
  <c r="E83" i="2" s="1"/>
  <c r="F83" i="2" s="1"/>
  <c r="G83" i="2" s="1"/>
  <c r="H83" i="2" s="1"/>
  <c r="I83" i="2" s="1"/>
  <c r="J83" i="2" s="1"/>
  <c r="K83" i="2" s="1"/>
  <c r="L83" i="2" s="1"/>
  <c r="M83" i="2" s="1"/>
  <c r="N83" i="2" s="1"/>
  <c r="O83" i="2" s="1"/>
  <c r="P83" i="2" s="1"/>
  <c r="Q83" i="2" s="1"/>
  <c r="R83" i="2" s="1"/>
  <c r="S83" i="2" s="1"/>
  <c r="T83" i="2" s="1"/>
  <c r="U83" i="2" s="1"/>
  <c r="V83" i="2" s="1"/>
  <c r="W83" i="2" s="1"/>
  <c r="X83" i="2" s="1"/>
  <c r="Y83" i="2" s="1"/>
  <c r="Z83" i="2" s="1"/>
  <c r="AA83" i="2" s="1"/>
  <c r="AB83" i="2" s="1"/>
  <c r="E133" i="3"/>
  <c r="D133" i="3"/>
  <c r="G131" i="3"/>
  <c r="F132" i="3"/>
  <c r="X77" i="2"/>
  <c r="AA77" i="2"/>
  <c r="D77" i="2"/>
  <c r="L77" i="2"/>
  <c r="T77" i="2"/>
  <c r="M77" i="2"/>
  <c r="U77" i="2"/>
  <c r="N77" i="2"/>
  <c r="I77" i="2"/>
  <c r="F77" i="2"/>
  <c r="G77" i="2"/>
  <c r="O77" i="2"/>
  <c r="H77" i="2"/>
  <c r="P77" i="2"/>
  <c r="J77" i="2"/>
  <c r="R77" i="2"/>
  <c r="K77" i="2"/>
  <c r="S77" i="2"/>
  <c r="E77" i="2"/>
  <c r="C77" i="2"/>
  <c r="V77" i="2"/>
  <c r="Q77" i="2"/>
  <c r="AB77" i="2"/>
  <c r="Y77" i="2"/>
  <c r="Z77" i="2"/>
  <c r="W77" i="2"/>
  <c r="E93" i="2"/>
  <c r="N93" i="2"/>
  <c r="T93" i="2"/>
  <c r="J93" i="2"/>
  <c r="F93" i="2"/>
  <c r="L93" i="2"/>
  <c r="P93" i="2"/>
  <c r="Z93" i="2"/>
  <c r="AA93" i="2"/>
  <c r="M93" i="2"/>
  <c r="X93" i="2"/>
  <c r="G93" i="2"/>
  <c r="D93" i="2"/>
  <c r="K93" i="2"/>
  <c r="W93" i="2"/>
  <c r="Q93" i="2"/>
  <c r="Y93" i="2"/>
  <c r="AB93" i="2"/>
  <c r="C93" i="2"/>
  <c r="H93" i="2"/>
  <c r="U93" i="2"/>
  <c r="I93" i="2"/>
  <c r="O93" i="2"/>
  <c r="S93" i="2"/>
  <c r="T102" i="4"/>
  <c r="K102" i="4"/>
  <c r="F102" i="4"/>
  <c r="W102" i="4"/>
  <c r="Q102" i="4"/>
  <c r="J102" i="4"/>
  <c r="Y102" i="4"/>
  <c r="G102" i="4"/>
  <c r="M102" i="4"/>
  <c r="L102" i="4"/>
  <c r="AA102" i="4"/>
  <c r="R102" i="4"/>
  <c r="C102" i="4"/>
  <c r="P102" i="4"/>
  <c r="E102" i="4"/>
  <c r="I102" i="4"/>
  <c r="O102" i="4"/>
  <c r="U102" i="4"/>
  <c r="V102" i="4"/>
  <c r="S102" i="4"/>
  <c r="X102" i="4"/>
  <c r="D102" i="4"/>
  <c r="Z102" i="4"/>
  <c r="N102" i="4"/>
  <c r="AB102" i="4"/>
  <c r="H102" i="4"/>
  <c r="D36" i="1"/>
  <c r="D39" i="1" s="1"/>
  <c r="C133" i="3"/>
  <c r="C131" i="3"/>
  <c r="C132" i="3"/>
  <c r="J40" i="21" l="1"/>
  <c r="I55" i="21"/>
  <c r="O100" i="2"/>
  <c r="O27" i="1" s="1"/>
  <c r="U100" i="2"/>
  <c r="U27" i="1" s="1"/>
  <c r="D100" i="2"/>
  <c r="D27" i="1" s="1"/>
  <c r="F100" i="2"/>
  <c r="F27" i="1" s="1"/>
  <c r="I100" i="2"/>
  <c r="I27" i="1" s="1"/>
  <c r="H100" i="2"/>
  <c r="H27" i="1" s="1"/>
  <c r="G100" i="2"/>
  <c r="G27" i="1" s="1"/>
  <c r="J100" i="2"/>
  <c r="J27" i="1" s="1"/>
  <c r="W100" i="2"/>
  <c r="W27" i="1" s="1"/>
  <c r="C100" i="2"/>
  <c r="C27" i="1" s="1"/>
  <c r="X100" i="2"/>
  <c r="X27" i="1" s="1"/>
  <c r="T100" i="2"/>
  <c r="T27" i="1" s="1"/>
  <c r="K100" i="2"/>
  <c r="K27" i="1" s="1"/>
  <c r="AB100" i="2"/>
  <c r="AB27" i="1" s="1"/>
  <c r="M100" i="2"/>
  <c r="M27" i="1" s="1"/>
  <c r="N100" i="2"/>
  <c r="N27" i="1" s="1"/>
  <c r="Y100" i="2"/>
  <c r="Y27" i="1" s="1"/>
  <c r="AA100" i="2"/>
  <c r="AA27" i="1" s="1"/>
  <c r="E100" i="2"/>
  <c r="E27" i="1" s="1"/>
  <c r="P100" i="2"/>
  <c r="P27" i="1" s="1"/>
  <c r="L100" i="2"/>
  <c r="L27" i="1" s="1"/>
  <c r="S100" i="2"/>
  <c r="S27" i="1" s="1"/>
  <c r="Q100" i="2"/>
  <c r="Q27" i="1" s="1"/>
  <c r="Z100" i="2"/>
  <c r="Z27" i="1" s="1"/>
  <c r="G133" i="3"/>
  <c r="G132" i="3"/>
  <c r="D132" i="3"/>
  <c r="D131" i="3"/>
  <c r="E132" i="3"/>
  <c r="E131" i="3"/>
  <c r="F133" i="3"/>
  <c r="F131" i="3"/>
  <c r="C36" i="1"/>
  <c r="C39" i="1" s="1"/>
  <c r="U116" i="3"/>
  <c r="E36" i="1"/>
  <c r="E39" i="1" s="1"/>
  <c r="X95" i="2"/>
  <c r="E95" i="2"/>
  <c r="E101" i="2" s="1"/>
  <c r="M95" i="2"/>
  <c r="M101" i="2" s="1"/>
  <c r="U95" i="2"/>
  <c r="C95" i="2"/>
  <c r="O95" i="2"/>
  <c r="T95" i="2"/>
  <c r="T101" i="2" s="1"/>
  <c r="F95" i="2"/>
  <c r="F101" i="2" s="1"/>
  <c r="N95" i="2"/>
  <c r="N101" i="2" s="1"/>
  <c r="V95" i="2"/>
  <c r="V101" i="2" s="1"/>
  <c r="G95" i="2"/>
  <c r="G101" i="2" s="1"/>
  <c r="J95" i="2"/>
  <c r="R95" i="2"/>
  <c r="R101" i="2" s="1"/>
  <c r="D95" i="2"/>
  <c r="D101" i="2" s="1"/>
  <c r="H95" i="2"/>
  <c r="H101" i="2" s="1"/>
  <c r="P95" i="2"/>
  <c r="P101" i="2" s="1"/>
  <c r="S95" i="2"/>
  <c r="S101" i="2" s="1"/>
  <c r="L95" i="2"/>
  <c r="L101" i="2" s="1"/>
  <c r="I95" i="2"/>
  <c r="Q95" i="2"/>
  <c r="Q101" i="2" s="1"/>
  <c r="K95" i="2"/>
  <c r="AB95" i="2"/>
  <c r="W95" i="2"/>
  <c r="Y95" i="2"/>
  <c r="Y101" i="2" s="1"/>
  <c r="AA95" i="2"/>
  <c r="AA101" i="2" s="1"/>
  <c r="Z95" i="2"/>
  <c r="W104" i="4"/>
  <c r="R104" i="4"/>
  <c r="M104" i="4"/>
  <c r="Y104" i="4"/>
  <c r="S104" i="4"/>
  <c r="D104" i="4"/>
  <c r="L104" i="4"/>
  <c r="C104" i="4"/>
  <c r="F104" i="4"/>
  <c r="E104" i="4"/>
  <c r="G104" i="4"/>
  <c r="I104" i="4"/>
  <c r="J104" i="4"/>
  <c r="K104" i="4"/>
  <c r="H104" i="4"/>
  <c r="Z104" i="4"/>
  <c r="P104" i="4"/>
  <c r="N104" i="4"/>
  <c r="AB104" i="4"/>
  <c r="AA104" i="4"/>
  <c r="O104" i="4"/>
  <c r="Q104" i="4"/>
  <c r="U104" i="4"/>
  <c r="T104" i="4"/>
  <c r="X104" i="4"/>
  <c r="V104" i="4"/>
  <c r="N84" i="4"/>
  <c r="N109" i="4" s="1"/>
  <c r="H84" i="4"/>
  <c r="H109" i="4" s="1"/>
  <c r="F84" i="4"/>
  <c r="F109" i="4" s="1"/>
  <c r="S84" i="4"/>
  <c r="S109" i="4" s="1"/>
  <c r="M84" i="4"/>
  <c r="M109" i="4" s="1"/>
  <c r="K84" i="4"/>
  <c r="K109" i="4" s="1"/>
  <c r="Y84" i="4"/>
  <c r="Y109" i="4" s="1"/>
  <c r="V84" i="4"/>
  <c r="V109" i="4" s="1"/>
  <c r="Z84" i="4"/>
  <c r="Z109" i="4" s="1"/>
  <c r="U84" i="4"/>
  <c r="U109" i="4" s="1"/>
  <c r="R84" i="4"/>
  <c r="R109" i="4" s="1"/>
  <c r="I84" i="4"/>
  <c r="I109" i="4" s="1"/>
  <c r="W84" i="4"/>
  <c r="W109" i="4" s="1"/>
  <c r="C84" i="4"/>
  <c r="C109" i="4" s="1"/>
  <c r="O84" i="4"/>
  <c r="O109" i="4" s="1"/>
  <c r="L84" i="4"/>
  <c r="L109" i="4" s="1"/>
  <c r="E84" i="4"/>
  <c r="E109" i="4" s="1"/>
  <c r="AB84" i="4"/>
  <c r="AB109" i="4" s="1"/>
  <c r="P84" i="4"/>
  <c r="P109" i="4" s="1"/>
  <c r="D84" i="4"/>
  <c r="D109" i="4" s="1"/>
  <c r="Q84" i="4"/>
  <c r="Q109" i="4" s="1"/>
  <c r="G84" i="4"/>
  <c r="G109" i="4" s="1"/>
  <c r="X84" i="4"/>
  <c r="X109" i="4" s="1"/>
  <c r="T84" i="4"/>
  <c r="T109" i="4" s="1"/>
  <c r="J84" i="4"/>
  <c r="J109" i="4" s="1"/>
  <c r="AA84" i="4"/>
  <c r="AA109" i="4" s="1"/>
  <c r="C134" i="3"/>
  <c r="C116" i="3"/>
  <c r="E116" i="3"/>
  <c r="K40" i="21" l="1"/>
  <c r="J55" i="21"/>
  <c r="C141" i="3"/>
  <c r="C25" i="1" s="1"/>
  <c r="G17" i="1"/>
  <c r="M17" i="1"/>
  <c r="H17" i="1"/>
  <c r="C7" i="1" s="1"/>
  <c r="W101" i="2"/>
  <c r="W17" i="1" s="1"/>
  <c r="O101" i="2"/>
  <c r="O17" i="1" s="1"/>
  <c r="V17" i="1"/>
  <c r="AA17" i="1"/>
  <c r="S17" i="1"/>
  <c r="N17" i="1"/>
  <c r="I101" i="2"/>
  <c r="I17" i="1" s="1"/>
  <c r="U101" i="2"/>
  <c r="U17" i="1" s="1"/>
  <c r="X101" i="2"/>
  <c r="X17" i="1" s="1"/>
  <c r="T17" i="1"/>
  <c r="D17" i="1"/>
  <c r="R17" i="1"/>
  <c r="Q17" i="1"/>
  <c r="L17" i="1"/>
  <c r="E17" i="1"/>
  <c r="J101" i="2"/>
  <c r="J17" i="1" s="1"/>
  <c r="Y17" i="1"/>
  <c r="P17" i="1"/>
  <c r="F17" i="1"/>
  <c r="K101" i="2"/>
  <c r="K17" i="1" s="1"/>
  <c r="AB101" i="2"/>
  <c r="AB17" i="1" s="1"/>
  <c r="D7" i="1" s="1"/>
  <c r="Z101" i="2"/>
  <c r="Z17" i="1" s="1"/>
  <c r="C101" i="2"/>
  <c r="C17" i="1" s="1"/>
  <c r="T26" i="1"/>
  <c r="X26" i="1"/>
  <c r="O26" i="1"/>
  <c r="Y26" i="1"/>
  <c r="L26" i="1"/>
  <c r="V26" i="1"/>
  <c r="G26" i="1"/>
  <c r="C26" i="1"/>
  <c r="K26" i="1"/>
  <c r="Q26" i="1"/>
  <c r="W26" i="1"/>
  <c r="M26" i="1"/>
  <c r="E26" i="1"/>
  <c r="Z26" i="1"/>
  <c r="N26" i="1"/>
  <c r="J26" i="1"/>
  <c r="D26" i="1"/>
  <c r="I26" i="1"/>
  <c r="S26" i="1"/>
  <c r="P26" i="1"/>
  <c r="R26" i="1"/>
  <c r="F26" i="1"/>
  <c r="AA26" i="1"/>
  <c r="AB26" i="1"/>
  <c r="U26" i="1"/>
  <c r="H26" i="1"/>
  <c r="G134" i="3"/>
  <c r="E134" i="3"/>
  <c r="E141" i="3" s="1"/>
  <c r="H134" i="3"/>
  <c r="J116" i="3"/>
  <c r="W134" i="3"/>
  <c r="AA116" i="3"/>
  <c r="O134" i="3"/>
  <c r="Z116" i="3"/>
  <c r="O116" i="3"/>
  <c r="D116" i="3"/>
  <c r="F134" i="3"/>
  <c r="L116" i="3"/>
  <c r="D134" i="3"/>
  <c r="G116" i="3"/>
  <c r="S116" i="3"/>
  <c r="I116" i="3"/>
  <c r="Y116" i="3"/>
  <c r="N116" i="3"/>
  <c r="AB116" i="3"/>
  <c r="P116" i="3"/>
  <c r="W116" i="3"/>
  <c r="W141" i="3" s="1"/>
  <c r="X116" i="3"/>
  <c r="R116" i="3"/>
  <c r="Q116" i="3"/>
  <c r="F116" i="3"/>
  <c r="T116" i="3"/>
  <c r="V116" i="3"/>
  <c r="H116" i="3"/>
  <c r="K116" i="3"/>
  <c r="M116" i="3"/>
  <c r="S86" i="4"/>
  <c r="S110" i="4" s="1"/>
  <c r="R134" i="3"/>
  <c r="C135" i="3"/>
  <c r="C136" i="3"/>
  <c r="C117" i="3"/>
  <c r="C118" i="3"/>
  <c r="Q86" i="4"/>
  <c r="Q110" i="4" s="1"/>
  <c r="N86" i="4"/>
  <c r="N110" i="4" s="1"/>
  <c r="W86" i="4"/>
  <c r="W110" i="4" s="1"/>
  <c r="U86" i="4"/>
  <c r="U110" i="4" s="1"/>
  <c r="X86" i="4"/>
  <c r="X110" i="4" s="1"/>
  <c r="P86" i="4"/>
  <c r="P110" i="4" s="1"/>
  <c r="C85" i="4"/>
  <c r="E86" i="4"/>
  <c r="E110" i="4" s="1"/>
  <c r="C86" i="4"/>
  <c r="C110" i="4" s="1"/>
  <c r="F86" i="4"/>
  <c r="F110" i="4" s="1"/>
  <c r="G86" i="4"/>
  <c r="G110" i="4" s="1"/>
  <c r="H86" i="4"/>
  <c r="H110" i="4" s="1"/>
  <c r="I86" i="4"/>
  <c r="I110" i="4" s="1"/>
  <c r="J86" i="4"/>
  <c r="J110" i="4" s="1"/>
  <c r="K86" i="4"/>
  <c r="K110" i="4" s="1"/>
  <c r="D86" i="4"/>
  <c r="D110" i="4" s="1"/>
  <c r="L86" i="4"/>
  <c r="L110" i="4" s="1"/>
  <c r="T86" i="4"/>
  <c r="T110" i="4" s="1"/>
  <c r="Z86" i="4"/>
  <c r="Z110" i="4" s="1"/>
  <c r="V86" i="4"/>
  <c r="V110" i="4" s="1"/>
  <c r="M86" i="4"/>
  <c r="M110" i="4" s="1"/>
  <c r="R86" i="4"/>
  <c r="R110" i="4" s="1"/>
  <c r="AB86" i="4"/>
  <c r="AB110" i="4" s="1"/>
  <c r="Y86" i="4"/>
  <c r="Y110" i="4" s="1"/>
  <c r="AA86" i="4"/>
  <c r="AA110" i="4" s="1"/>
  <c r="O86" i="4"/>
  <c r="O110" i="4" s="1"/>
  <c r="I134" i="3"/>
  <c r="C103" i="4"/>
  <c r="L40" i="21" l="1"/>
  <c r="K55" i="21"/>
  <c r="G141" i="3"/>
  <c r="G25" i="1" s="1"/>
  <c r="G28" i="1" s="1"/>
  <c r="I141" i="3"/>
  <c r="R141" i="3"/>
  <c r="R25" i="1" s="1"/>
  <c r="R28" i="1" s="1"/>
  <c r="H141" i="3"/>
  <c r="D141" i="3"/>
  <c r="D25" i="1" s="1"/>
  <c r="D28" i="1" s="1"/>
  <c r="F141" i="3"/>
  <c r="F25" i="1" s="1"/>
  <c r="F28" i="1" s="1"/>
  <c r="O141" i="3"/>
  <c r="O25" i="1" s="1"/>
  <c r="O28" i="1" s="1"/>
  <c r="C142" i="3"/>
  <c r="C15" i="1" s="1"/>
  <c r="W25" i="1"/>
  <c r="W28" i="1" s="1"/>
  <c r="C28" i="1"/>
  <c r="S16" i="1"/>
  <c r="F16" i="1"/>
  <c r="N16" i="1"/>
  <c r="G16" i="1"/>
  <c r="E16" i="1"/>
  <c r="AA16" i="1"/>
  <c r="AB16" i="1"/>
  <c r="D6" i="1" s="1"/>
  <c r="K16" i="1"/>
  <c r="Q16" i="1"/>
  <c r="W16" i="1"/>
  <c r="T16" i="1"/>
  <c r="Y16" i="1"/>
  <c r="R16" i="1"/>
  <c r="P16" i="1"/>
  <c r="I16" i="1"/>
  <c r="X16" i="1"/>
  <c r="Z16" i="1"/>
  <c r="O16" i="1"/>
  <c r="L16" i="1"/>
  <c r="D16" i="1"/>
  <c r="J16" i="1"/>
  <c r="M16" i="1"/>
  <c r="V16" i="1"/>
  <c r="H16" i="1"/>
  <c r="C6" i="1" s="1"/>
  <c r="U16" i="1"/>
  <c r="C16" i="1"/>
  <c r="H25" i="1"/>
  <c r="H28" i="1" s="1"/>
  <c r="I25" i="1"/>
  <c r="I28" i="1" s="1"/>
  <c r="E25" i="1"/>
  <c r="E28" i="1" s="1"/>
  <c r="D118" i="3"/>
  <c r="D135" i="3"/>
  <c r="E135" i="3" s="1"/>
  <c r="E136" i="3"/>
  <c r="P134" i="3"/>
  <c r="P141" i="3" s="1"/>
  <c r="Y134" i="3"/>
  <c r="Y141" i="3" s="1"/>
  <c r="D117" i="3"/>
  <c r="E117" i="3" s="1"/>
  <c r="E118" i="3"/>
  <c r="X134" i="3"/>
  <c r="X141" i="3" s="1"/>
  <c r="U134" i="3"/>
  <c r="U141" i="3" s="1"/>
  <c r="L134" i="3"/>
  <c r="L141" i="3" s="1"/>
  <c r="G118" i="3"/>
  <c r="G136" i="3"/>
  <c r="H136" i="3"/>
  <c r="D136" i="3"/>
  <c r="F136" i="3"/>
  <c r="K134" i="3"/>
  <c r="K141" i="3" s="1"/>
  <c r="N134" i="3"/>
  <c r="N141" i="3" s="1"/>
  <c r="Q134" i="3"/>
  <c r="Q141" i="3" s="1"/>
  <c r="M134" i="3"/>
  <c r="M141" i="3" s="1"/>
  <c r="V134" i="3"/>
  <c r="V141" i="3" s="1"/>
  <c r="P118" i="3"/>
  <c r="AB118" i="3"/>
  <c r="R118" i="3"/>
  <c r="O118" i="3"/>
  <c r="Z134" i="3"/>
  <c r="Z141" i="3" s="1"/>
  <c r="F118" i="3"/>
  <c r="J118" i="3"/>
  <c r="J134" i="3"/>
  <c r="J141" i="3" s="1"/>
  <c r="AB134" i="3"/>
  <c r="AB141" i="3" s="1"/>
  <c r="T134" i="3"/>
  <c r="T141" i="3" s="1"/>
  <c r="N118" i="3"/>
  <c r="Y118" i="3"/>
  <c r="K118" i="3"/>
  <c r="L118" i="3"/>
  <c r="X118" i="3"/>
  <c r="S134" i="3"/>
  <c r="S141" i="3" s="1"/>
  <c r="T118" i="3"/>
  <c r="I118" i="3"/>
  <c r="V118" i="3"/>
  <c r="U118" i="3"/>
  <c r="H118" i="3"/>
  <c r="M118" i="3"/>
  <c r="AA134" i="3"/>
  <c r="AA141" i="3" s="1"/>
  <c r="Z118" i="3"/>
  <c r="Q118" i="3"/>
  <c r="AA118" i="3"/>
  <c r="S118" i="3"/>
  <c r="W118" i="3"/>
  <c r="I136" i="3"/>
  <c r="D103" i="4"/>
  <c r="M40" i="21" l="1"/>
  <c r="L55" i="21"/>
  <c r="T25" i="1"/>
  <c r="T28" i="1" s="1"/>
  <c r="H142" i="3"/>
  <c r="H15" i="1" s="1"/>
  <c r="H18" i="1" s="1"/>
  <c r="G142" i="3"/>
  <c r="G15" i="1" s="1"/>
  <c r="G18" i="1" s="1"/>
  <c r="F142" i="3"/>
  <c r="F15" i="1" s="1"/>
  <c r="F18" i="1" s="1"/>
  <c r="D142" i="3"/>
  <c r="D15" i="1" s="1"/>
  <c r="D18" i="1" s="1"/>
  <c r="E142" i="3"/>
  <c r="E15" i="1" s="1"/>
  <c r="E18" i="1" s="1"/>
  <c r="I142" i="3"/>
  <c r="I15" i="1" s="1"/>
  <c r="I18" i="1" s="1"/>
  <c r="C18" i="1"/>
  <c r="S25" i="1"/>
  <c r="S28" i="1" s="1"/>
  <c r="N25" i="1"/>
  <c r="N28" i="1" s="1"/>
  <c r="X25" i="1"/>
  <c r="X28" i="1" s="1"/>
  <c r="AB25" i="1"/>
  <c r="AB28" i="1" s="1"/>
  <c r="V25" i="1"/>
  <c r="V28" i="1" s="1"/>
  <c r="U25" i="1"/>
  <c r="U28" i="1" s="1"/>
  <c r="Z25" i="1"/>
  <c r="Z28" i="1" s="1"/>
  <c r="J25" i="1"/>
  <c r="J28" i="1" s="1"/>
  <c r="AA25" i="1"/>
  <c r="AA28" i="1" s="1"/>
  <c r="L25" i="1"/>
  <c r="L28" i="1" s="1"/>
  <c r="Q25" i="1"/>
  <c r="Q28" i="1" s="1"/>
  <c r="P25" i="1"/>
  <c r="P28" i="1" s="1"/>
  <c r="M25" i="1"/>
  <c r="M28" i="1" s="1"/>
  <c r="Y25" i="1"/>
  <c r="Y28" i="1" s="1"/>
  <c r="K25" i="1"/>
  <c r="K28" i="1" s="1"/>
  <c r="Z136" i="3"/>
  <c r="Z142" i="3" s="1"/>
  <c r="R136" i="3"/>
  <c r="R142" i="3" s="1"/>
  <c r="Q136" i="3"/>
  <c r="Q142" i="3" s="1"/>
  <c r="N136" i="3"/>
  <c r="N142" i="3" s="1"/>
  <c r="T136" i="3"/>
  <c r="T142" i="3" s="1"/>
  <c r="AA136" i="3"/>
  <c r="AA142" i="3" s="1"/>
  <c r="O136" i="3"/>
  <c r="O142" i="3" s="1"/>
  <c r="P136" i="3"/>
  <c r="P142" i="3" s="1"/>
  <c r="K136" i="3"/>
  <c r="K142" i="3" s="1"/>
  <c r="L136" i="3"/>
  <c r="L142" i="3" s="1"/>
  <c r="J136" i="3"/>
  <c r="J142" i="3" s="1"/>
  <c r="U136" i="3"/>
  <c r="U142" i="3" s="1"/>
  <c r="X136" i="3"/>
  <c r="X142" i="3" s="1"/>
  <c r="M136" i="3"/>
  <c r="M142" i="3" s="1"/>
  <c r="W136" i="3"/>
  <c r="W142" i="3" s="1"/>
  <c r="AB136" i="3"/>
  <c r="AB142" i="3" s="1"/>
  <c r="Y136" i="3"/>
  <c r="Y142" i="3" s="1"/>
  <c r="S136" i="3"/>
  <c r="S142" i="3" s="1"/>
  <c r="V136" i="3"/>
  <c r="V142" i="3" s="1"/>
  <c r="F135" i="3"/>
  <c r="F117" i="3"/>
  <c r="E103" i="4"/>
  <c r="C76" i="2"/>
  <c r="N40" i="21" l="1"/>
  <c r="M55" i="21"/>
  <c r="C5" i="1"/>
  <c r="C8" i="1" s="1"/>
  <c r="Z15" i="1"/>
  <c r="Z18" i="1" s="1"/>
  <c r="M15" i="1"/>
  <c r="M18" i="1" s="1"/>
  <c r="O15" i="1"/>
  <c r="O18" i="1" s="1"/>
  <c r="R15" i="1"/>
  <c r="R18" i="1" s="1"/>
  <c r="Q15" i="1"/>
  <c r="Q18" i="1" s="1"/>
  <c r="Y15" i="1"/>
  <c r="Y18" i="1" s="1"/>
  <c r="K15" i="1"/>
  <c r="K18" i="1" s="1"/>
  <c r="AA15" i="1"/>
  <c r="AA18" i="1" s="1"/>
  <c r="U15" i="1"/>
  <c r="U18" i="1" s="1"/>
  <c r="V15" i="1"/>
  <c r="V18" i="1" s="1"/>
  <c r="X15" i="1"/>
  <c r="X18" i="1" s="1"/>
  <c r="S15" i="1"/>
  <c r="S18" i="1" s="1"/>
  <c r="T15" i="1"/>
  <c r="T18" i="1" s="1"/>
  <c r="W15" i="1"/>
  <c r="W18" i="1" s="1"/>
  <c r="J15" i="1"/>
  <c r="J18" i="1" s="1"/>
  <c r="P15" i="1"/>
  <c r="P18" i="1" s="1"/>
  <c r="AB15" i="1"/>
  <c r="AB18" i="1" s="1"/>
  <c r="L15" i="1"/>
  <c r="L18" i="1" s="1"/>
  <c r="N15" i="1"/>
  <c r="N18" i="1" s="1"/>
  <c r="G135" i="3"/>
  <c r="G117" i="3"/>
  <c r="F103" i="4"/>
  <c r="C94" i="2"/>
  <c r="D76" i="2"/>
  <c r="O40" i="21" l="1"/>
  <c r="N55" i="21"/>
  <c r="D5" i="1"/>
  <c r="D8" i="1" s="1"/>
  <c r="D94" i="2"/>
  <c r="E76" i="2"/>
  <c r="H117" i="3"/>
  <c r="H135" i="3"/>
  <c r="G103" i="4"/>
  <c r="P40" i="21" l="1"/>
  <c r="O55" i="21"/>
  <c r="E94" i="2"/>
  <c r="F94" i="2" s="1"/>
  <c r="F76" i="2"/>
  <c r="I117" i="3"/>
  <c r="I135" i="3"/>
  <c r="H103" i="4"/>
  <c r="Q40" i="21" l="1"/>
  <c r="P55" i="21"/>
  <c r="G94" i="2"/>
  <c r="G76" i="2"/>
  <c r="J117" i="3"/>
  <c r="J135" i="3"/>
  <c r="I103" i="4"/>
  <c r="R40" i="21" l="1"/>
  <c r="Q55" i="21"/>
  <c r="H94" i="2"/>
  <c r="H76" i="2"/>
  <c r="K135" i="3"/>
  <c r="K117" i="3"/>
  <c r="J103" i="4"/>
  <c r="S40" i="21" l="1"/>
  <c r="R55" i="21"/>
  <c r="I76" i="2"/>
  <c r="I94" i="2"/>
  <c r="L117" i="3"/>
  <c r="L135" i="3"/>
  <c r="K103" i="4"/>
  <c r="T40" i="21" l="1"/>
  <c r="S55" i="21"/>
  <c r="J94" i="2"/>
  <c r="J76" i="2"/>
  <c r="M135" i="3"/>
  <c r="M117" i="3"/>
  <c r="L103" i="4"/>
  <c r="U40" i="21" l="1"/>
  <c r="T55" i="21"/>
  <c r="K76" i="2"/>
  <c r="K94" i="2"/>
  <c r="N117" i="3"/>
  <c r="N135" i="3"/>
  <c r="M103" i="4"/>
  <c r="V40" i="21" l="1"/>
  <c r="U55" i="21"/>
  <c r="L94" i="2"/>
  <c r="L76" i="2"/>
  <c r="O135" i="3"/>
  <c r="O117" i="3"/>
  <c r="N103" i="4"/>
  <c r="W40" i="21" l="1"/>
  <c r="V55" i="21"/>
  <c r="M76" i="2"/>
  <c r="M94" i="2"/>
  <c r="P117" i="3"/>
  <c r="P135" i="3"/>
  <c r="O103" i="4"/>
  <c r="X40" i="21" l="1"/>
  <c r="W55" i="21"/>
  <c r="N94" i="2"/>
  <c r="N76" i="2"/>
  <c r="Q135" i="3"/>
  <c r="Q117" i="3"/>
  <c r="P103" i="4"/>
  <c r="Y40" i="21" l="1"/>
  <c r="X55" i="21"/>
  <c r="O76" i="2"/>
  <c r="O94" i="2"/>
  <c r="R117" i="3"/>
  <c r="R135" i="3"/>
  <c r="Q103" i="4"/>
  <c r="Z40" i="21" l="1"/>
  <c r="Y55" i="21"/>
  <c r="P76" i="2"/>
  <c r="P94" i="2"/>
  <c r="S135" i="3"/>
  <c r="S117" i="3"/>
  <c r="R103" i="4"/>
  <c r="AA40" i="21" l="1"/>
  <c r="Z55" i="21"/>
  <c r="Q94" i="2"/>
  <c r="Q76" i="2"/>
  <c r="T117" i="3"/>
  <c r="T135" i="3"/>
  <c r="S103" i="4"/>
  <c r="AB40" i="21" l="1"/>
  <c r="AA55" i="21"/>
  <c r="R76" i="2"/>
  <c r="R94" i="2"/>
  <c r="U117" i="3"/>
  <c r="U135" i="3"/>
  <c r="T103" i="4"/>
  <c r="AC40" i="21" l="1"/>
  <c r="AC55" i="21" s="1"/>
  <c r="AB55" i="21"/>
  <c r="S94" i="2"/>
  <c r="S76" i="2"/>
  <c r="V117" i="3"/>
  <c r="V135" i="3"/>
  <c r="U103" i="4"/>
  <c r="T94" i="2" l="1"/>
  <c r="T76" i="2"/>
  <c r="W117" i="3"/>
  <c r="W135" i="3"/>
  <c r="V103" i="4"/>
  <c r="U76" i="2" l="1"/>
  <c r="U94" i="2"/>
  <c r="X117" i="3"/>
  <c r="X135" i="3"/>
  <c r="W103" i="4"/>
  <c r="V76" i="2" l="1"/>
  <c r="V94" i="2"/>
  <c r="Y135" i="3"/>
  <c r="Y117" i="3"/>
  <c r="X103" i="4"/>
  <c r="W76" i="2" l="1"/>
  <c r="W94" i="2"/>
  <c r="Z135" i="3"/>
  <c r="Z117" i="3"/>
  <c r="Y103" i="4"/>
  <c r="X94" i="2" l="1"/>
  <c r="X76" i="2"/>
  <c r="AA117" i="3"/>
  <c r="AA135" i="3"/>
  <c r="Z103" i="4"/>
  <c r="Y76" i="2" l="1"/>
  <c r="Y94" i="2"/>
  <c r="AB117" i="3"/>
  <c r="AB135" i="3"/>
  <c r="AA103" i="4"/>
  <c r="Z94" i="2" l="1"/>
  <c r="Z76" i="2"/>
  <c r="AB103" i="4"/>
  <c r="AA76" i="2" l="1"/>
  <c r="AA94" i="2"/>
  <c r="AB94" i="2" l="1"/>
  <c r="AB76" i="2"/>
  <c r="D85" i="4" l="1"/>
  <c r="E85" i="4" s="1"/>
  <c r="F85" i="4" l="1"/>
  <c r="G85" i="4" l="1"/>
  <c r="H85" i="4" l="1"/>
  <c r="I85" i="4" l="1"/>
  <c r="J85" i="4" l="1"/>
  <c r="K85" i="4" l="1"/>
  <c r="L85" i="4" l="1"/>
  <c r="M85" i="4" l="1"/>
  <c r="N85" i="4" l="1"/>
  <c r="O85" i="4" l="1"/>
  <c r="P85" i="4" l="1"/>
  <c r="Q85" i="4" l="1"/>
  <c r="R85" i="4" l="1"/>
  <c r="S85" i="4" l="1"/>
  <c r="T85" i="4" l="1"/>
  <c r="U85" i="4" l="1"/>
  <c r="V85" i="4" l="1"/>
  <c r="W85" i="4" l="1"/>
  <c r="X85" i="4" l="1"/>
  <c r="Y85" i="4" l="1"/>
  <c r="Z85" i="4" l="1"/>
  <c r="AA85" i="4" l="1"/>
  <c r="AB85" i="4" l="1"/>
</calcChain>
</file>

<file path=xl/sharedStrings.xml><?xml version="1.0" encoding="utf-8"?>
<sst xmlns="http://schemas.openxmlformats.org/spreadsheetml/2006/main" count="1401" uniqueCount="460">
  <si>
    <t>CO2</t>
  </si>
  <si>
    <t>N2O</t>
  </si>
  <si>
    <t>CH4</t>
  </si>
  <si>
    <t>CO2 (metric tons)</t>
  </si>
  <si>
    <t>N2O (metric tons)</t>
  </si>
  <si>
    <t>CH4 (metric tons)</t>
  </si>
  <si>
    <t>CO2e (metric tons)</t>
  </si>
  <si>
    <t>Cumulative CO2e (metric tons)</t>
  </si>
  <si>
    <t>Total</t>
  </si>
  <si>
    <t>Fuel</t>
  </si>
  <si>
    <t>Diesel</t>
  </si>
  <si>
    <t>Model Output: OFFROAD2021 (v1.0.5) Emissions Inventory</t>
  </si>
  <si>
    <t>Region Type: Air Basin</t>
  </si>
  <si>
    <t>Region: South Coast</t>
  </si>
  <si>
    <t>Calendar Year: 2025, 2026, 2027, 2028, 2029, 2030</t>
  </si>
  <si>
    <t>Scenario: All Adopted Rules - Exhaust</t>
  </si>
  <si>
    <t>Vehicle Classification: OFFROAD2021 Equipment Types</t>
  </si>
  <si>
    <t>Units: tons/day for Emissions, gallons/year for Fuel, hours/year for Activity, Horsepower-hours/year for Horsepower-hours</t>
  </si>
  <si>
    <t>Region</t>
  </si>
  <si>
    <t>Calendar Year</t>
  </si>
  <si>
    <t>Vehicle Category</t>
  </si>
  <si>
    <t>Model Year</t>
  </si>
  <si>
    <t>Horsepower Bin</t>
  </si>
  <si>
    <t>HC_tpd</t>
  </si>
  <si>
    <t>ROG_tpd</t>
  </si>
  <si>
    <t>TOG_tpd</t>
  </si>
  <si>
    <t>CO_tpd</t>
  </si>
  <si>
    <t>NOx_tpd</t>
  </si>
  <si>
    <t>CO2_tpd</t>
  </si>
  <si>
    <t>PM10_tpd</t>
  </si>
  <si>
    <t>PM2.5_tpd</t>
  </si>
  <si>
    <t>SOx_tpd</t>
  </si>
  <si>
    <t>NH3_tpd</t>
  </si>
  <si>
    <t>Fuel Consumption</t>
  </si>
  <si>
    <t>Total_Activity_hpy</t>
  </si>
  <si>
    <t>Total_Population</t>
  </si>
  <si>
    <t>Horsepower_Hours_hhpy</t>
  </si>
  <si>
    <t>South Coast</t>
  </si>
  <si>
    <t>Cargo Handling Equipment - Port Yard Truck</t>
  </si>
  <si>
    <t>Aggregate</t>
  </si>
  <si>
    <t>Engine Size (hp) (1)</t>
  </si>
  <si>
    <t>Annual Operating Hours (1)</t>
  </si>
  <si>
    <t>Load Factor (2)</t>
  </si>
  <si>
    <t>CO2 (g/kWh) (3)</t>
  </si>
  <si>
    <t>CH4 (g/kWh) (3)</t>
  </si>
  <si>
    <t>N2O (g/kWh) (3)</t>
  </si>
  <si>
    <t>Season: Annual</t>
  </si>
  <si>
    <t>Vehicle Classification: EMFAC202x Categories</t>
  </si>
  <si>
    <t>Speed</t>
  </si>
  <si>
    <t>Population</t>
  </si>
  <si>
    <t>Total VMT</t>
  </si>
  <si>
    <t>CVMT</t>
  </si>
  <si>
    <t>EVMT</t>
  </si>
  <si>
    <t>Trips</t>
  </si>
  <si>
    <t>NOx_RUNEX</t>
  </si>
  <si>
    <t>NOx_IDLEX</t>
  </si>
  <si>
    <t>NOx_STREX</t>
  </si>
  <si>
    <t>PM2.5_RUNEX</t>
  </si>
  <si>
    <t>PM2.5_IDLEX</t>
  </si>
  <si>
    <t>PM2.5_STREX</t>
  </si>
  <si>
    <t>PM2.5_PMTW</t>
  </si>
  <si>
    <t>PM2.5_PMBW</t>
  </si>
  <si>
    <t>PM10_RUNEX</t>
  </si>
  <si>
    <t>PM10_IDLEX</t>
  </si>
  <si>
    <t>PM10_STREX</t>
  </si>
  <si>
    <t>PM10_PMTW</t>
  </si>
  <si>
    <t>PM10_PMBW</t>
  </si>
  <si>
    <t>CO2_RUNEX</t>
  </si>
  <si>
    <t>CO2_IDLEX</t>
  </si>
  <si>
    <t>CO2_STREX</t>
  </si>
  <si>
    <t>CH4_RUNEX</t>
  </si>
  <si>
    <t>CH4_IDLEX</t>
  </si>
  <si>
    <t>CH4_STREX</t>
  </si>
  <si>
    <t>N2O_RUNEX</t>
  </si>
  <si>
    <t>N2O_IDLEX</t>
  </si>
  <si>
    <t>N2O_STREX</t>
  </si>
  <si>
    <t>ROG_RUNEX</t>
  </si>
  <si>
    <t>ROG_IDLEX</t>
  </si>
  <si>
    <t>ROG_STREX</t>
  </si>
  <si>
    <t>ROG_HOTSOAK</t>
  </si>
  <si>
    <t>ROG_RUNLOSS</t>
  </si>
  <si>
    <t>ROG_DIURN</t>
  </si>
  <si>
    <t>TOG_RUNEX</t>
  </si>
  <si>
    <t>TOG_IDLEX</t>
  </si>
  <si>
    <t>TOG_STREX</t>
  </si>
  <si>
    <t>TOG_HOTSOAK</t>
  </si>
  <si>
    <t>TOG_RUNLOSS</t>
  </si>
  <si>
    <t>TOG_DIURN</t>
  </si>
  <si>
    <t>NH3_RUNEX</t>
  </si>
  <si>
    <t>CO_RUNEX</t>
  </si>
  <si>
    <t>CO_IDLEX</t>
  </si>
  <si>
    <t>CO_STREX</t>
  </si>
  <si>
    <t>SOx_RUNEX</t>
  </si>
  <si>
    <t>SOx_IDLEX</t>
  </si>
  <si>
    <t>SOx_STREX</t>
  </si>
  <si>
    <t>Energy Consumption</t>
  </si>
  <si>
    <t xml:space="preserve">Annual Miles per Truck (1) </t>
  </si>
  <si>
    <t>(1) Average value for Ports of Los Angeles and Long Beach (2022 Emissions Inventory Reports)</t>
  </si>
  <si>
    <t>Annual MWh</t>
  </si>
  <si>
    <t>(kWh/mile)</t>
  </si>
  <si>
    <t>Btu to hp-hr conversion (Btu/hp-hr)</t>
  </si>
  <si>
    <t>Hp to kW conversion</t>
  </si>
  <si>
    <t>NOx</t>
  </si>
  <si>
    <t>PM2.5</t>
  </si>
  <si>
    <t>DPM</t>
  </si>
  <si>
    <t>Top Handlers</t>
  </si>
  <si>
    <t>Average Grams per Mile</t>
  </si>
  <si>
    <t>Source: EMFAC2021 (v1.0.2) Emissions Inventory</t>
  </si>
  <si>
    <t>NOx_TOTEX</t>
  </si>
  <si>
    <t>PM2.5_TOTEX</t>
  </si>
  <si>
    <t>PM2.5_TOTAL</t>
  </si>
  <si>
    <t>PM10_TOTEX</t>
  </si>
  <si>
    <t>PM10_TOTAL</t>
  </si>
  <si>
    <t>CO2_TOTEX</t>
  </si>
  <si>
    <t>CH4_TOTEX</t>
  </si>
  <si>
    <t>N2O_TOTEX</t>
  </si>
  <si>
    <t>ROG_TOTEX</t>
  </si>
  <si>
    <t>ROG_TOTAL</t>
  </si>
  <si>
    <t>TOG_TOTEX</t>
  </si>
  <si>
    <t>TOG_TOTAL</t>
  </si>
  <si>
    <t>CO_TOTEX</t>
  </si>
  <si>
    <t>SOx_TOTEX</t>
  </si>
  <si>
    <t>Cargo Handling Equipment - Port Container Handling Equipment</t>
  </si>
  <si>
    <t>2030+</t>
  </si>
  <si>
    <t>CO2 (Kg/gal)</t>
  </si>
  <si>
    <t>CH4 (g/kW-hr)</t>
  </si>
  <si>
    <t>CH4 (g/gal)</t>
  </si>
  <si>
    <t>N2O (g/gal)</t>
  </si>
  <si>
    <t>CO2 (g/kW-hr)</t>
  </si>
  <si>
    <t>N2O (g/kW-hr)</t>
  </si>
  <si>
    <t>Top Handler</t>
  </si>
  <si>
    <t>Yard Tractor</t>
  </si>
  <si>
    <t>NOx (tons/year)</t>
  </si>
  <si>
    <t>PM2.5 (tons/year)</t>
  </si>
  <si>
    <t>DPM (tons/year)</t>
  </si>
  <si>
    <t>CAP/HAP Emission Factors</t>
  </si>
  <si>
    <t>CO2     (Kg/gal)</t>
  </si>
  <si>
    <t>CH4     (g/gal)</t>
  </si>
  <si>
    <t>N2O   (g/gal)</t>
  </si>
  <si>
    <t>GHG Emissions from ZE Switcher Locomotives</t>
  </si>
  <si>
    <t>Input Parameters</t>
  </si>
  <si>
    <t>GHG Diesel Switcher Emission Factors (1)</t>
  </si>
  <si>
    <t>GHG Emission Reductions from Diesel Switcher Locomotives</t>
  </si>
  <si>
    <t>CAP/HAP Emission Reductions from Diesel Switcher Locomotives</t>
  </si>
  <si>
    <t>GHG Emissions from ZE Yard Tractors and Top Handlers</t>
  </si>
  <si>
    <t>CAP/HAP Emission Reductions from Yard Tractors and Top Handlers</t>
  </si>
  <si>
    <t>Cumulative CO2e with Project Life (metric tons)</t>
  </si>
  <si>
    <t>Energy Use and Greenhouse Gas Emissions of PHEV, 2010</t>
  </si>
  <si>
    <t>Cumulative Number of Chargers</t>
  </si>
  <si>
    <t>CAP/HAP Emission Reductions (tons per year)</t>
  </si>
  <si>
    <t>Diesel Fuel Heat Content LHV (Btu/gal) (4)</t>
  </si>
  <si>
    <t>Fuel Conversion (hp-hr/gallon) (3)</t>
  </si>
  <si>
    <t>(2) CARB's Methodology for Battery Electric Switcher Usage Pattern</t>
  </si>
  <si>
    <t>(3) EPA's 2009 Technical Highlights Emission Factors for Locomotives (Table 3)</t>
  </si>
  <si>
    <t>Tier 0+ Switcher Locomotive</t>
  </si>
  <si>
    <t>(5) U.S. EPA's eGrid, Western Power Grid</t>
  </si>
  <si>
    <t>Charging Efficiency (4)</t>
  </si>
  <si>
    <t>Input Values</t>
  </si>
  <si>
    <t>Transmission and Distribution Grid Loss (7)</t>
  </si>
  <si>
    <t>Compression-Ignition Engines in MOVES2014b; July 2018.</t>
  </si>
  <si>
    <t>Annual Fuel Consumption (gal)</t>
  </si>
  <si>
    <t>Fuel Consumption per Locomotive (gal/yr)(2)</t>
  </si>
  <si>
    <t>Transmission and Distribution Grid Loss (5)</t>
  </si>
  <si>
    <t>Units:  miles/year for CVMT and EVMT, trips/year for Trips, kWh/year for Energy Consumption, tons/year for Emissions, 1000 gallons/year for Fuel Consumption</t>
  </si>
  <si>
    <t>T7 Tractor Class 8</t>
  </si>
  <si>
    <t>Running Exhaust CO2 (g/mile) (2)</t>
  </si>
  <si>
    <t>Running Exhaust CH4 (g/mile) (2)</t>
  </si>
  <si>
    <t>Running Exhaust N2O (g/mile) (2)</t>
  </si>
  <si>
    <t>Idling CO2 (g/truck/day) (2)</t>
  </si>
  <si>
    <t>Idling CH4 (g/truck/day) (2)</t>
  </si>
  <si>
    <t>Idling N2O (g/truck/day) (2)</t>
  </si>
  <si>
    <t>(1) Average Annual Miles from Prop 1B Projects</t>
  </si>
  <si>
    <t>(2) EMFAC2021, T7 Tractor Class 8 Category, 2010 to 2017 Model Years</t>
  </si>
  <si>
    <t xml:space="preserve">Annual Miles per Truck (3) </t>
  </si>
  <si>
    <t>Running Exhaust CO2 (g/mile) (4)</t>
  </si>
  <si>
    <t>Running Exhaust CH4 (g/mile) (4)</t>
  </si>
  <si>
    <t>Running Exhaust N2O (g/mile) (4)</t>
  </si>
  <si>
    <t>Idling CO2 (g/truck/day) (4)</t>
  </si>
  <si>
    <t>Idling CH4 (g/truck/day) (4)</t>
  </si>
  <si>
    <t>Idling N2O (g/truck/day) (4)</t>
  </si>
  <si>
    <t>https://www.epa.gov/egrid/frequent-questions-about-egrid#What%20is%20Grid%20Gross%20Loss</t>
  </si>
  <si>
    <t>Well-To-Wheels Energy and Greenhouse Gas Analysis of Plug-In Hybrid Electric Vehicles</t>
  </si>
  <si>
    <t>https://www.epa.gov/climateleadership/ghg-emission-factors-hub</t>
  </si>
  <si>
    <t>ZE Truck Energy Consumption (5)</t>
  </si>
  <si>
    <t>Charging Efficiency (6)</t>
  </si>
  <si>
    <t xml:space="preserve">(6) Argonne National Laboratory, Well to Wheels Analysis of </t>
  </si>
  <si>
    <t>(7) U.S. EPA's eGrid, Western Power Grid</t>
  </si>
  <si>
    <t>https://www.portoflosangeles.org/environment/air-quality/air-emissions-inventory</t>
  </si>
  <si>
    <t>https://polb.com/environment/air#emissions-inventory</t>
  </si>
  <si>
    <t>https://ww2.arb.ca.gov/sites/default/files/2023-08/2022CHEInventory.pdf</t>
  </si>
  <si>
    <t>(2) CARB 2022 Cargo Handling Equipment Documentation</t>
  </si>
  <si>
    <t>Document Display | NEPIS | US EPA</t>
  </si>
  <si>
    <t>Off-Road Diesel Equipment Fuel Consumption Rate (kWh/gal)</t>
  </si>
  <si>
    <t>HP to KW Conversion</t>
  </si>
  <si>
    <t>GHG Emission Factors for Cargo Handling Equipment</t>
  </si>
  <si>
    <t>GHG Emission Factors for Diesel Fuel for CHE (1)</t>
  </si>
  <si>
    <t>GHG Emission Factors Hub | US EPA</t>
  </si>
  <si>
    <t>Off-Road Diesel Equipment Fuel Consumption Rate (lbs/hp-hr) (2)</t>
  </si>
  <si>
    <t xml:space="preserve">(2) EPA's Exhaust and Crankcase Emission Factors for Nonroad </t>
  </si>
  <si>
    <t>GHG Emission Factors for CHE (g/kWh) (3)</t>
  </si>
  <si>
    <t>and fuel density</t>
  </si>
  <si>
    <t>Diesel Fuel Density (lbs/gal)</t>
  </si>
  <si>
    <t>(3) Derived from fuel-based emission factors based on fuel consumption rate and</t>
  </si>
  <si>
    <t>(3) Derived emission factors (Kg/gal or g/gal converted to g/kWh); See CHE EF Tab</t>
  </si>
  <si>
    <t>HP to kW conversion</t>
  </si>
  <si>
    <t xml:space="preserve">(8) EPA's 2024 GHG Emission Factor HUB </t>
  </si>
  <si>
    <t>(Table 6 for Electricity, CAMX WECC California Subregion)</t>
  </si>
  <si>
    <t>(1) EPA's EF GHG HUB (Table 2 for CO2 and Table 5 for CH4 and N2O for Industrial/Commercial Equipment)</t>
  </si>
  <si>
    <t>https://ww2.arb.ca.gov/resources/fact-sheets/yes-california-grid-can-handle-electrification-all-switchers-all-railyards</t>
  </si>
  <si>
    <t>https://nepis.epa.gov/Exe/ZyNET.exe/P100500B.txt?ZyActionD=ZyDocument&amp;Client=EPA&amp;Index=2006%20Thru%202010&amp;Docs=&amp;Query=&amp;Time=&amp;EndTime=&amp;SearchMethod=1&amp;TocRestrict=n&amp;Toc=&amp;TocEntry=&amp;QField=&amp;QFieldYear=&amp;QFieldMonth=&amp;QFieldDay=&amp;UseQField=&amp;IntQFieldOp=0&amp;ExtQFieldOp=0&amp;XmlQuery=&amp;File=D%3A%5CZYFILES%5CINDEX%20DATA%5C06THRU10%5CTXT%5C00000010%5CP100500B.txt&amp;User=ANONYMOUS&amp;Password=anonymous&amp;SortMethod=h%7C-&amp;MaximumDocuments=1&amp;FuzzyDegree=0&amp;ImageQuality=r75g8/r75g8/x150y150g16/i425&amp;Display=hpfr&amp;DefSeekPage=x&amp;SearchBack=ZyActionL&amp;Back=ZyActionS&amp;BackDesc=Results%20page&amp;MaximumPages=1&amp;ZyEntry=2</t>
  </si>
  <si>
    <t xml:space="preserve">(4) Argonne National Laboratory, Well to Wheels Analysis of </t>
  </si>
  <si>
    <t>(4) AFLEET Tool 2023</t>
  </si>
  <si>
    <t>GHG Emission Factors for Years 2025-2029 (8)</t>
  </si>
  <si>
    <t>Electricity Generation Emission Factors (lbs/MWh)</t>
  </si>
  <si>
    <t>GHG Emission Factors for Years 2045+ (9)</t>
  </si>
  <si>
    <t>GHG Emission Factors for Years 2030-2044 (9)</t>
  </si>
  <si>
    <t>GHG</t>
  </si>
  <si>
    <t xml:space="preserve">GHG  </t>
  </si>
  <si>
    <t>GHG Global Warming Potential (10)</t>
  </si>
  <si>
    <t>https://www.epa.gov/system/files/documents/2024-01/cprg-general-competition-correction.pdf</t>
  </si>
  <si>
    <t>Class 8 Trucks Running Exhaust (g/mile) (11)</t>
  </si>
  <si>
    <t>Class 8 Trucks Idling (g/truck/day) (11)</t>
  </si>
  <si>
    <t>(11) EMFAC2021, T7 Tractor Class 8 Category, 2010 to 2017 Model Year Diesel Trucks</t>
  </si>
  <si>
    <t>(9) Average of emission factors for utilities in Los Angeles and Orange Counties reflecting CA's Renewable Portfolio Standard Program</t>
  </si>
  <si>
    <t>Project Life (years) (12)</t>
  </si>
  <si>
    <t>(5) Volvo Electric Trucks, https://www.volvotrucks.us/trucks/vnr-electric/</t>
  </si>
  <si>
    <t>https://ww2.arb.ca.gov/our-work/programs/msei/on-road-emfac</t>
  </si>
  <si>
    <t>NOx/PM Emission Factors for Cargo Handling Equipment</t>
  </si>
  <si>
    <t>`</t>
  </si>
  <si>
    <t>Yard Tractors</t>
  </si>
  <si>
    <t>HP</t>
  </si>
  <si>
    <t>Annual Hours</t>
  </si>
  <si>
    <t>Load Factor</t>
  </si>
  <si>
    <t>NOx Emissions</t>
  </si>
  <si>
    <t>(g/hp-hr)</t>
  </si>
  <si>
    <t>(tons/year)</t>
  </si>
  <si>
    <t>Average</t>
  </si>
  <si>
    <t>(tone/year)</t>
  </si>
  <si>
    <t>PM10 Emissions</t>
  </si>
  <si>
    <t>NOx ZH (1)</t>
  </si>
  <si>
    <t>NOx DR (1)</t>
  </si>
  <si>
    <t xml:space="preserve">PM ZH (1) </t>
  </si>
  <si>
    <t>PM DR (1)</t>
  </si>
  <si>
    <t>PM2.5 Emissions (2)</t>
  </si>
  <si>
    <t>2017 Off-Road Emissions Factor Documentation</t>
  </si>
  <si>
    <t>https://ww2.arb.ca.gov/our-work/programs/msei/road-categories/road-diesel-models-and-documentation</t>
  </si>
  <si>
    <t xml:space="preserve">(1) Zero-hour (ZH) emission factors and deterioration rates </t>
  </si>
  <si>
    <t>https://arb.ca.gov/emfac/offroad/emissions-inventory/e263cdd9de130c5e61759e36d202a9e6bbe4a24e</t>
  </si>
  <si>
    <t>(3) Accumulated hours capped at 12,000 hours</t>
  </si>
  <si>
    <t>Accumulated Hours Cap (3)</t>
  </si>
  <si>
    <t>https://greet.anl.gov/afleet</t>
  </si>
  <si>
    <t>Off-Road Equipment Diesel Fuel Consumption Rate (kWh/gal)(5)</t>
  </si>
  <si>
    <t>(5) Calculated from estimated BSFC and fuel density; CHE EF Tab</t>
  </si>
  <si>
    <t>Priority Climate Action Plan - The Los Angeles-Long Beach-Anaheim, CA Metropolitan Statistical Area, March 2024 (Table B.18)</t>
  </si>
  <si>
    <t>(10) CPRG Program Implementation Grants - General Competition Notice of Funding Opportunity, Appendix B</t>
  </si>
  <si>
    <t xml:space="preserve">Criteria Air Pollutants (CAP)/Hazardous Air Pollutants (HAP) Emission Factors </t>
  </si>
  <si>
    <t>(1) EPA's EF GHG HUB (Table 2 for CO2 and Table 5 for CH4 and N2O for Locomotives)</t>
  </si>
  <si>
    <t>Calendar Year: 2030</t>
  </si>
  <si>
    <t>PM2.5/PM10</t>
  </si>
  <si>
    <t>Cargo Handling Equipment - Rail Truck</t>
  </si>
  <si>
    <t>Cargo Handling Equipment - Rail Yard Truck</t>
  </si>
  <si>
    <t>Class 4 Trucks Idling (g/truck/day) (12)</t>
  </si>
  <si>
    <t xml:space="preserve">GHG Emission Reductions from Diesel Class 4, 5 and 8 Trucks </t>
  </si>
  <si>
    <t>GHG Emissions from ZE Class 4, 5 and 8 Trucks</t>
  </si>
  <si>
    <t>CAP/HAP Emission Reductions from Diesel Class 4, 5, 8 Trucks</t>
  </si>
  <si>
    <t>Number of Class 8 Diesel Trucks per Year</t>
  </si>
  <si>
    <t xml:space="preserve">Cumulative Number of Class 8 Diesel Trucks </t>
  </si>
  <si>
    <t>Number of Class 4 Diesel Trucks per Year</t>
  </si>
  <si>
    <t>Number of Class 5 Diesel Trucks per Year</t>
  </si>
  <si>
    <t>Number of Yard Tractors per Year</t>
  </si>
  <si>
    <t xml:space="preserve">Cumulative Number of Yard Tractors </t>
  </si>
  <si>
    <t>Number of Top Handlers per Year</t>
  </si>
  <si>
    <t>Number of Switcher Locomotives Per Year</t>
  </si>
  <si>
    <t xml:space="preserve">Cumulative Number of Switcher Locomotives </t>
  </si>
  <si>
    <t>Class 4 Trucks Running Exhaust (g/mile) (12)</t>
  </si>
  <si>
    <t>Class 5 Trucks Running Exhaust (g/mile) (13)</t>
  </si>
  <si>
    <t>Class 5 Trucks Idling (g/truck/day) (13)</t>
  </si>
  <si>
    <t>(12) EMFAC2021, T6 Public Class 4 Category, 2010 to 2017 Model Year Diesel Trucks</t>
  </si>
  <si>
    <t>GHG Emissions from Electricity Generation</t>
  </si>
  <si>
    <t>N20 (metric tons)</t>
  </si>
  <si>
    <t>CO2e (metric tons</t>
  </si>
  <si>
    <t>GHG Emission Reductions from Diesel Trucks</t>
  </si>
  <si>
    <t>CAP/HAP Emission Reductions from Diesel Trucks</t>
  </si>
  <si>
    <t>Average Idling Grams per Truck per Day</t>
  </si>
  <si>
    <t>(13) EMFAC2021, T6 Public Class 5 Category, 2010 to 2017 Model Year Diesel Trucks</t>
  </si>
  <si>
    <t xml:space="preserve">GHG Emission Reductions from Diesel Yard Tractors and Top Handlers  </t>
  </si>
  <si>
    <t>Cumulative Charger Counts</t>
  </si>
  <si>
    <t>Projected max charging power (KW)</t>
  </si>
  <si>
    <t xml:space="preserve">New Charger Counts (1) </t>
  </si>
  <si>
    <t xml:space="preserve">Charging utilization rate (2) </t>
  </si>
  <si>
    <t>Projected annual energy consumption (KWh/year) (3)</t>
  </si>
  <si>
    <t>Projected ZET mileages (miles/year) (4)</t>
  </si>
  <si>
    <t>Projected electricity generation (MWh/year) (5)</t>
  </si>
  <si>
    <t>(5) Includes charging efficiency and grid loss</t>
  </si>
  <si>
    <t>Charger Power (KW)</t>
  </si>
  <si>
    <t>Class 8 Heavy Heavy Duty Trucks Emission Factors</t>
  </si>
  <si>
    <t>Class 4 Medium Heavy Duty Trucks Emission Factors</t>
  </si>
  <si>
    <t>Class 5 Medium Heavy Duty Trucks Emission Factors</t>
  </si>
  <si>
    <t>(3) 24 hours per day, 312 days per year truck operation (EMFAC2021 assumption)</t>
  </si>
  <si>
    <t>Projected number of trucks (6)</t>
  </si>
  <si>
    <t>(12) Assumed charger life</t>
  </si>
  <si>
    <t>Cumulative CO2e with project life (metric tons)</t>
  </si>
  <si>
    <t>Number of Chargers per Year</t>
  </si>
  <si>
    <t>CPRG Measure</t>
  </si>
  <si>
    <t>Net GHG Emission Reductions for ZE Class 4,5, and 8 Trucks</t>
  </si>
  <si>
    <t>Net GHG Emission Reductions for ZE Cargo Handling Equipment</t>
  </si>
  <si>
    <t>Net GHG Emission Reductions for ZE Switcher Locomotives</t>
  </si>
  <si>
    <t>Annual CO2e Reductions (metric tons)</t>
  </si>
  <si>
    <t>Cumulative CO2e Reductions (metric Tons)</t>
  </si>
  <si>
    <t>2025-2030</t>
  </si>
  <si>
    <t>2025-2050</t>
  </si>
  <si>
    <t>Number of ZE Units</t>
  </si>
  <si>
    <t>Net GHG Emission Reductions from Chargers</t>
  </si>
  <si>
    <t>(2) Conservative assumptions for charger utilization per year</t>
  </si>
  <si>
    <t>(4) Based on 2 KWh/mile for ZET</t>
  </si>
  <si>
    <t xml:space="preserve">(12) Assumed equipment life </t>
  </si>
  <si>
    <t>(1) Assuming 250 KW Chargers</t>
  </si>
  <si>
    <t>(2) PM2.5/PM10 ratios: 0.92 for yard tractors and other cargo handling equipment (See OFFROAD Model Tab)</t>
  </si>
  <si>
    <t>T6 Instate Delivery Class 4</t>
  </si>
  <si>
    <t>T6 Instate Delivery Class 5</t>
  </si>
  <si>
    <t>Average miles per year</t>
  </si>
  <si>
    <t>(4) EMFAC2021, T6 Instate Delivery Class 5 Category, 2010 to 2017 Model Years</t>
  </si>
  <si>
    <t>(6) Based on average 54,788 miles per year</t>
  </si>
  <si>
    <t>Class 8</t>
  </si>
  <si>
    <t>Class 4 &amp; 5</t>
  </si>
  <si>
    <t>180124hdbevefficiency.pdf (ca.gov)</t>
  </si>
  <si>
    <t>Where,</t>
  </si>
  <si>
    <r>
      <t xml:space="preserve">NTi </t>
    </r>
    <r>
      <rPr>
        <sz val="11"/>
        <color theme="1"/>
        <rFont val="Calibri"/>
        <family val="2"/>
        <scheme val="minor"/>
      </rPr>
      <t>= Number of trucks in year i</t>
    </r>
  </si>
  <si>
    <r>
      <t>VMTi</t>
    </r>
    <r>
      <rPr>
        <sz val="11"/>
        <color theme="1"/>
        <rFont val="Calibri"/>
        <family val="2"/>
        <scheme val="minor"/>
      </rPr>
      <t xml:space="preserve"> = Annual vehicle miles traveled in year i</t>
    </r>
  </si>
  <si>
    <r>
      <t>EF</t>
    </r>
    <r>
      <rPr>
        <sz val="11"/>
        <color theme="1"/>
        <rFont val="Calibri"/>
        <family val="2"/>
        <scheme val="minor"/>
      </rPr>
      <t xml:space="preserve"> = Composite emission factor for running exhaust for diesel trucks in grams per mile derived from CARB’s EMFAC2021 Model in year i </t>
    </r>
  </si>
  <si>
    <r>
      <t>U</t>
    </r>
    <r>
      <rPr>
        <sz val="11"/>
        <color theme="1"/>
        <rFont val="Calibri"/>
        <family val="2"/>
        <scheme val="minor"/>
      </rPr>
      <t xml:space="preserve"> = unit conversion from grams to metric tons (1000,000 grams per metric ton)</t>
    </r>
  </si>
  <si>
    <r>
      <t>EF</t>
    </r>
    <r>
      <rPr>
        <sz val="11"/>
        <color theme="1"/>
        <rFont val="Calibri"/>
        <family val="2"/>
        <scheme val="minor"/>
      </rPr>
      <t xml:space="preserve"> = Composite emission factor for idling for diesel trucks in grams per truck per day derived from CARB’s EMFAC2021 Model in year i </t>
    </r>
  </si>
  <si>
    <r>
      <t>NTi</t>
    </r>
    <r>
      <rPr>
        <sz val="11"/>
        <color theme="1"/>
        <rFont val="Calibri"/>
        <family val="2"/>
        <scheme val="minor"/>
      </rPr>
      <t xml:space="preserve"> = Number of battery-powered trucks per year in year i</t>
    </r>
  </si>
  <si>
    <r>
      <t>VMTi</t>
    </r>
    <r>
      <rPr>
        <sz val="11"/>
        <color theme="1"/>
        <rFont val="Calibri"/>
        <family val="2"/>
        <scheme val="minor"/>
      </rPr>
      <t xml:space="preserve"> = Annual vehicle miles traveled per truck in year i</t>
    </r>
  </si>
  <si>
    <r>
      <t xml:space="preserve">ETi = </t>
    </r>
    <r>
      <rPr>
        <sz val="11"/>
        <color theme="1"/>
        <rFont val="Calibri"/>
        <family val="2"/>
        <scheme val="minor"/>
      </rPr>
      <t>Estimated Electricity Consumption for battery-powered trucks (KWh/mile)</t>
    </r>
  </si>
  <si>
    <r>
      <t xml:space="preserve">CF = </t>
    </r>
    <r>
      <rPr>
        <sz val="11"/>
        <color theme="1"/>
        <rFont val="Calibri"/>
        <family val="2"/>
        <scheme val="minor"/>
      </rPr>
      <t>Conversion factor from KWh to MWh (1000 kWh per MWh)</t>
    </r>
  </si>
  <si>
    <r>
      <t>U</t>
    </r>
    <r>
      <rPr>
        <sz val="11"/>
        <color theme="1"/>
        <rFont val="Calibri"/>
        <family val="2"/>
        <scheme val="minor"/>
      </rPr>
      <t xml:space="preserve"> = Unit conversion from grams to metric tons (1000,000 grams per metric ton)</t>
    </r>
  </si>
  <si>
    <r>
      <t xml:space="preserve">      EF</t>
    </r>
    <r>
      <rPr>
        <sz val="11"/>
        <color theme="1"/>
        <rFont val="Calibri"/>
        <family val="2"/>
        <scheme val="minor"/>
      </rPr>
      <t xml:space="preserve"> = Electricity generation GHG emission factors in pounds per MWh</t>
    </r>
  </si>
  <si>
    <r>
      <t xml:space="preserve">     CE</t>
    </r>
    <r>
      <rPr>
        <sz val="11"/>
        <color theme="1"/>
        <rFont val="Calibri"/>
        <family val="2"/>
        <scheme val="minor"/>
      </rPr>
      <t xml:space="preserve"> = Charging Efficiency (%)</t>
    </r>
  </si>
  <si>
    <r>
      <t xml:space="preserve">      U</t>
    </r>
    <r>
      <rPr>
        <sz val="11"/>
        <color theme="1"/>
        <rFont val="Calibri"/>
        <family val="2"/>
        <scheme val="minor"/>
      </rPr>
      <t xml:space="preserve"> = Unit conversion from grams to metric tons (1000,000 grams per metric ton)</t>
    </r>
  </si>
  <si>
    <r>
      <t xml:space="preserve">      GL</t>
    </r>
    <r>
      <rPr>
        <sz val="11"/>
        <color theme="1"/>
        <rFont val="Calibri"/>
        <family val="2"/>
        <scheme val="minor"/>
      </rPr>
      <t xml:space="preserve"> = Transmission and Distribution Grid Loss (%)</t>
    </r>
  </si>
  <si>
    <r>
      <t xml:space="preserve">      CE</t>
    </r>
    <r>
      <rPr>
        <sz val="11"/>
        <color theme="1"/>
        <rFont val="Calibri"/>
        <family val="2"/>
        <scheme val="minor"/>
      </rPr>
      <t xml:space="preserve"> = Charging Efficiency (%)</t>
    </r>
  </si>
  <si>
    <t xml:space="preserve">       Where,</t>
  </si>
  <si>
    <r>
      <t>GHGCHEi</t>
    </r>
    <r>
      <rPr>
        <sz val="11"/>
        <color theme="1"/>
        <rFont val="Calibri"/>
        <family val="2"/>
        <scheme val="minor"/>
      </rPr>
      <t xml:space="preserve"> = GHG emission reductions for CHE in metric tons in year i</t>
    </r>
  </si>
  <si>
    <r>
      <t xml:space="preserve">NCHEi </t>
    </r>
    <r>
      <rPr>
        <sz val="11"/>
        <color theme="1"/>
        <rFont val="Calibri"/>
        <family val="2"/>
        <scheme val="minor"/>
      </rPr>
      <t>= Number of replaced CHE in year i</t>
    </r>
  </si>
  <si>
    <r>
      <t xml:space="preserve">ENG </t>
    </r>
    <r>
      <rPr>
        <sz val="11"/>
        <color theme="1"/>
        <rFont val="Calibri"/>
        <family val="2"/>
        <scheme val="minor"/>
      </rPr>
      <t>= Engine size (HP)</t>
    </r>
  </si>
  <si>
    <r>
      <t>HR</t>
    </r>
    <r>
      <rPr>
        <sz val="11"/>
        <color theme="1"/>
        <rFont val="Calibri"/>
        <family val="2"/>
        <scheme val="minor"/>
      </rPr>
      <t xml:space="preserve"> = Estimated annual operating hours</t>
    </r>
  </si>
  <si>
    <r>
      <t xml:space="preserve">LF = </t>
    </r>
    <r>
      <rPr>
        <sz val="11"/>
        <color theme="1"/>
        <rFont val="Calibri"/>
        <family val="2"/>
        <scheme val="minor"/>
      </rPr>
      <t>Load Factor for each CHE type</t>
    </r>
  </si>
  <si>
    <r>
      <t xml:space="preserve">CF = </t>
    </r>
    <r>
      <rPr>
        <sz val="11"/>
        <color theme="1"/>
        <rFont val="Calibri"/>
        <family val="2"/>
        <scheme val="minor"/>
      </rPr>
      <t>Conversion factor from HP to KW (0.7456 KW per HP)</t>
    </r>
    <r>
      <rPr>
        <i/>
        <sz val="11"/>
        <color theme="1"/>
        <rFont val="Calibri"/>
        <family val="2"/>
        <scheme val="minor"/>
      </rPr>
      <t xml:space="preserve"> </t>
    </r>
    <r>
      <rPr>
        <sz val="11"/>
        <color theme="1"/>
        <rFont val="Calibri"/>
        <family val="2"/>
        <scheme val="minor"/>
      </rPr>
      <t xml:space="preserve"> </t>
    </r>
    <r>
      <rPr>
        <i/>
        <sz val="11"/>
        <color theme="1"/>
        <rFont val="Calibri"/>
        <family val="2"/>
        <scheme val="minor"/>
      </rPr>
      <t xml:space="preserve"> </t>
    </r>
  </si>
  <si>
    <r>
      <t>EF</t>
    </r>
    <r>
      <rPr>
        <sz val="11"/>
        <color theme="1"/>
        <rFont val="Calibri"/>
        <family val="2"/>
        <scheme val="minor"/>
      </rPr>
      <t xml:space="preserve"> = GHG emission factors in grams per KWh for each CHE type </t>
    </r>
  </si>
  <si>
    <r>
      <t xml:space="preserve">     CF1</t>
    </r>
    <r>
      <rPr>
        <sz val="11"/>
        <color theme="1"/>
        <rFont val="Calibri"/>
        <family val="2"/>
        <scheme val="minor"/>
      </rPr>
      <t xml:space="preserve"> = Btu to hp-hr conversion (2,544 Btu per hp-hr))</t>
    </r>
  </si>
  <si>
    <r>
      <t xml:space="preserve">     BTU</t>
    </r>
    <r>
      <rPr>
        <sz val="11"/>
        <color theme="1"/>
        <rFont val="Calibri"/>
        <family val="2"/>
        <scheme val="minor"/>
      </rPr>
      <t xml:space="preserve"> = Diesel fuel heat content (lower heating value) (129,488 Btu/gal)</t>
    </r>
  </si>
  <si>
    <r>
      <t xml:space="preserve">      GHGETRKi</t>
    </r>
    <r>
      <rPr>
        <sz val="11"/>
        <color theme="1"/>
        <rFont val="Calibri"/>
        <family val="2"/>
        <scheme val="minor"/>
      </rPr>
      <t xml:space="preserve"> = GHG emissions for electricity generation in metric tons in year i</t>
    </r>
  </si>
  <si>
    <t xml:space="preserve">      Where,</t>
  </si>
  <si>
    <r>
      <t xml:space="preserve">NTi </t>
    </r>
    <r>
      <rPr>
        <sz val="11"/>
        <color theme="1"/>
        <rFont val="Calibri"/>
        <family val="2"/>
        <scheme val="minor"/>
      </rPr>
      <t>= Cumulative number of replaced CHE from 2025 to 2030</t>
    </r>
  </si>
  <si>
    <r>
      <t>EF</t>
    </r>
    <r>
      <rPr>
        <sz val="11"/>
        <color theme="1"/>
        <rFont val="Calibri"/>
        <family val="2"/>
        <scheme val="minor"/>
      </rPr>
      <t xml:space="preserve"> = Average emission factors in tons per year per unit in 2030</t>
    </r>
  </si>
  <si>
    <r>
      <t>U</t>
    </r>
    <r>
      <rPr>
        <sz val="11"/>
        <color theme="1"/>
        <rFont val="Calibri"/>
        <family val="2"/>
        <scheme val="minor"/>
      </rPr>
      <t xml:space="preserve"> = unit conversion from grams to short tons (907,200 grams per short ton)</t>
    </r>
  </si>
  <si>
    <r>
      <t xml:space="preserve">      U</t>
    </r>
    <r>
      <rPr>
        <sz val="11"/>
        <color theme="1"/>
        <rFont val="Calibri"/>
        <family val="2"/>
        <scheme val="minor"/>
      </rPr>
      <t xml:space="preserve"> = unit conversion from grams to short tons (907,200 grams per short ton)</t>
    </r>
  </si>
  <si>
    <r>
      <t>GHGSWTi</t>
    </r>
    <r>
      <rPr>
        <sz val="11"/>
        <color theme="1"/>
        <rFont val="Calibri"/>
        <family val="2"/>
        <scheme val="minor"/>
      </rPr>
      <t xml:space="preserve"> = GHG emission reductions for switchers in metric tons in year i</t>
    </r>
  </si>
  <si>
    <r>
      <t xml:space="preserve">NTi </t>
    </r>
    <r>
      <rPr>
        <sz val="11"/>
        <color theme="1"/>
        <rFont val="Calibri"/>
        <family val="2"/>
        <scheme val="minor"/>
      </rPr>
      <t>= Number of replaced switchers in year i</t>
    </r>
  </si>
  <si>
    <r>
      <t>FC</t>
    </r>
    <r>
      <rPr>
        <sz val="11"/>
        <color theme="1"/>
        <rFont val="Calibri"/>
        <family val="2"/>
        <scheme val="minor"/>
      </rPr>
      <t xml:space="preserve"> = Estimated annual fuel consumption per switcher in gallons </t>
    </r>
  </si>
  <si>
    <r>
      <t>EF</t>
    </r>
    <r>
      <rPr>
        <sz val="11"/>
        <color theme="1"/>
        <rFont val="Calibri"/>
        <family val="2"/>
        <scheme val="minor"/>
      </rPr>
      <t xml:space="preserve"> = EPA’s GHG emission factors for diesel switcher locomotives in Kg/gal or g/gal </t>
    </r>
  </si>
  <si>
    <r>
      <t>NTi</t>
    </r>
    <r>
      <rPr>
        <sz val="11"/>
        <color theme="1"/>
        <rFont val="Calibri"/>
        <family val="2"/>
        <scheme val="minor"/>
      </rPr>
      <t xml:space="preserve"> = Number of battery-electric switchers in year i</t>
    </r>
  </si>
  <si>
    <r>
      <t>CF1</t>
    </r>
    <r>
      <rPr>
        <sz val="11"/>
        <color theme="1"/>
        <rFont val="Calibri"/>
        <family val="2"/>
        <scheme val="minor"/>
      </rPr>
      <t xml:space="preserve"> = Switcher locomotives fuel consumption rate in hp-hr/gal</t>
    </r>
  </si>
  <si>
    <r>
      <t>CF2</t>
    </r>
    <r>
      <rPr>
        <sz val="11"/>
        <color theme="1"/>
        <rFont val="Calibri"/>
        <family val="2"/>
        <scheme val="minor"/>
      </rPr>
      <t xml:space="preserve"> = Conversion factor from HP to KW (0.7456 KW per HP)</t>
    </r>
  </si>
  <si>
    <r>
      <t>CF3</t>
    </r>
    <r>
      <rPr>
        <sz val="11"/>
        <color theme="1"/>
        <rFont val="Calibri"/>
        <family val="2"/>
        <scheme val="minor"/>
      </rPr>
      <t xml:space="preserve"> = Conversion factor from KWh to MWh (1000 kWh per MWh)</t>
    </r>
  </si>
  <si>
    <r>
      <t xml:space="preserve">      GHGESWTi</t>
    </r>
    <r>
      <rPr>
        <sz val="11"/>
        <color theme="1"/>
        <rFont val="Calibri"/>
        <family val="2"/>
        <scheme val="minor"/>
      </rPr>
      <t xml:space="preserve"> = GHG emissions for electricity generation in year i</t>
    </r>
  </si>
  <si>
    <r>
      <t xml:space="preserve">      EF</t>
    </r>
    <r>
      <rPr>
        <sz val="11"/>
        <color theme="1"/>
        <rFont val="Calibri"/>
        <family val="2"/>
        <scheme val="minor"/>
      </rPr>
      <t xml:space="preserve"> = Electricity generation GHG emission factors in pounds per MWh</t>
    </r>
    <r>
      <rPr>
        <vertAlign val="superscript"/>
        <sz val="11"/>
        <color theme="1"/>
        <rFont val="Calibri"/>
        <family val="2"/>
        <scheme val="minor"/>
      </rPr>
      <t xml:space="preserve"> </t>
    </r>
  </si>
  <si>
    <r>
      <t xml:space="preserve">     GL</t>
    </r>
    <r>
      <rPr>
        <sz val="11"/>
        <color theme="1"/>
        <rFont val="Calibri"/>
        <family val="2"/>
        <scheme val="minor"/>
      </rPr>
      <t xml:space="preserve"> = Transmission and Distribution Grid Loss (%)</t>
    </r>
  </si>
  <si>
    <r>
      <t xml:space="preserve">NTi </t>
    </r>
    <r>
      <rPr>
        <sz val="11"/>
        <color theme="1"/>
        <rFont val="Calibri"/>
        <family val="2"/>
        <scheme val="minor"/>
      </rPr>
      <t>= Cumulative number of replaced diesel switchers from 2025 to 2030</t>
    </r>
  </si>
  <si>
    <r>
      <t>CF</t>
    </r>
    <r>
      <rPr>
        <sz val="11"/>
        <color theme="1"/>
        <rFont val="Calibri"/>
        <family val="2"/>
        <scheme val="minor"/>
      </rPr>
      <t xml:space="preserve"> = Switcher locomotives fuel consumption rate in hp-hr/gal</t>
    </r>
  </si>
  <si>
    <r>
      <t>EF</t>
    </r>
    <r>
      <rPr>
        <sz val="11"/>
        <color theme="1"/>
        <rFont val="Calibri"/>
        <family val="2"/>
        <scheme val="minor"/>
      </rPr>
      <t xml:space="preserve"> = EPA’s emission factors for switcher locomotives for each pollutant in grams per hp-hr</t>
    </r>
  </si>
  <si>
    <r>
      <t>NCHRGi</t>
    </r>
    <r>
      <rPr>
        <sz val="11"/>
        <color theme="1"/>
        <rFont val="Calibri"/>
        <family val="2"/>
        <scheme val="minor"/>
      </rPr>
      <t xml:space="preserve"> = Number of chargers in year i</t>
    </r>
  </si>
  <si>
    <t>CP = Charger power (KW)</t>
  </si>
  <si>
    <r>
      <t xml:space="preserve">UTi </t>
    </r>
    <r>
      <rPr>
        <sz val="11"/>
        <color theme="1"/>
        <rFont val="Calibri"/>
        <family val="2"/>
        <scheme val="minor"/>
      </rPr>
      <t>= Utilization rate in year i</t>
    </r>
    <r>
      <rPr>
        <i/>
        <sz val="11"/>
        <color theme="1"/>
        <rFont val="Calibri"/>
        <family val="2"/>
        <scheme val="minor"/>
      </rPr>
      <t xml:space="preserve"> </t>
    </r>
  </si>
  <si>
    <r>
      <t xml:space="preserve">      GHGCHRGi</t>
    </r>
    <r>
      <rPr>
        <sz val="11"/>
        <color theme="1"/>
        <rFont val="Calibri"/>
        <family val="2"/>
        <scheme val="minor"/>
      </rPr>
      <t xml:space="preserve"> = GHG emissions for electricity generation metric tons in year i</t>
    </r>
  </si>
  <si>
    <r>
      <t xml:space="preserve">      HPD = </t>
    </r>
    <r>
      <rPr>
        <sz val="11"/>
        <color theme="1"/>
        <rFont val="Calibri"/>
        <family val="2"/>
        <scheme val="minor"/>
      </rPr>
      <t>Hours per day</t>
    </r>
  </si>
  <si>
    <r>
      <t xml:space="preserve">      DPY = </t>
    </r>
    <r>
      <rPr>
        <sz val="11"/>
        <color theme="1"/>
        <rFont val="Calibri"/>
        <family val="2"/>
        <scheme val="minor"/>
      </rPr>
      <t xml:space="preserve">Days per year </t>
    </r>
  </si>
  <si>
    <r>
      <t>GHGTRKEXi</t>
    </r>
    <r>
      <rPr>
        <sz val="11"/>
        <color theme="1"/>
        <rFont val="Calibri"/>
        <family val="2"/>
        <scheme val="minor"/>
      </rPr>
      <t xml:space="preserve"> = GHG emission reductions from running exhaust for trucks in metric tons in year i</t>
    </r>
  </si>
  <si>
    <r>
      <t xml:space="preserve">      DPY = </t>
    </r>
    <r>
      <rPr>
        <sz val="11"/>
        <color theme="1"/>
        <rFont val="Calibri"/>
        <family val="2"/>
        <scheme val="minor"/>
      </rPr>
      <t>Days per year</t>
    </r>
  </si>
  <si>
    <r>
      <t xml:space="preserve"> UTi </t>
    </r>
    <r>
      <rPr>
        <sz val="11"/>
        <color theme="1"/>
        <rFont val="Calibri"/>
        <family val="2"/>
        <scheme val="minor"/>
      </rPr>
      <t>= Utilization rate in year i</t>
    </r>
    <r>
      <rPr>
        <i/>
        <sz val="11"/>
        <color theme="1"/>
        <rFont val="Calibri"/>
        <family val="2"/>
        <scheme val="minor"/>
      </rPr>
      <t xml:space="preserve"> </t>
    </r>
  </si>
  <si>
    <t xml:space="preserve"> CP = Charger power (KW)</t>
  </si>
  <si>
    <r>
      <t xml:space="preserve"> GHGTRKEXi</t>
    </r>
    <r>
      <rPr>
        <sz val="11"/>
        <color theme="1"/>
        <rFont val="Calibri"/>
        <family val="2"/>
        <scheme val="minor"/>
      </rPr>
      <t xml:space="preserve"> = GHG emission reductions from running exhaust for trucks in metric tons in year i</t>
    </r>
  </si>
  <si>
    <t xml:space="preserve"> Where,</t>
  </si>
  <si>
    <r>
      <t>GHGTRKIDi</t>
    </r>
    <r>
      <rPr>
        <sz val="11"/>
        <color theme="1"/>
        <rFont val="Calibri"/>
        <family val="2"/>
        <scheme val="minor"/>
      </rPr>
      <t xml:space="preserve"> = GHG emission reductions from idling for trucks in metric tons in year i</t>
    </r>
  </si>
  <si>
    <r>
      <t xml:space="preserve"> GHGTRKIDi</t>
    </r>
    <r>
      <rPr>
        <sz val="11"/>
        <color theme="1"/>
        <rFont val="Calibri"/>
        <family val="2"/>
        <scheme val="minor"/>
      </rPr>
      <t xml:space="preserve"> = GHG emission reductions from idling for trucks in metric tons in year i</t>
    </r>
  </si>
  <si>
    <r>
      <t xml:space="preserve">      U</t>
    </r>
    <r>
      <rPr>
        <sz val="11"/>
        <color theme="1"/>
        <rFont val="Calibri"/>
        <family val="2"/>
        <scheme val="minor"/>
      </rPr>
      <t xml:space="preserve"> = unit conversion from grams to metric tons (1000,000 grams per metric ton)</t>
    </r>
  </si>
  <si>
    <r>
      <t xml:space="preserve">     CF2</t>
    </r>
    <r>
      <rPr>
        <sz val="11"/>
        <color theme="1"/>
        <rFont val="Calibri"/>
        <family val="2"/>
        <scheme val="minor"/>
      </rPr>
      <t xml:space="preserve"> = Gallons of diesel fuel to KWh electricity conversion for diesel equipment (14.22 KWh/gal)</t>
    </r>
  </si>
  <si>
    <r>
      <t xml:space="preserve">     CF3 = </t>
    </r>
    <r>
      <rPr>
        <sz val="11"/>
        <color theme="1"/>
        <rFont val="Calibri"/>
        <family val="2"/>
        <scheme val="minor"/>
      </rPr>
      <t>Conversion factor from KWh to MWh (1000 kWh per MWh)</t>
    </r>
  </si>
  <si>
    <r>
      <t xml:space="preserve">     EF</t>
    </r>
    <r>
      <rPr>
        <sz val="11"/>
        <color theme="1"/>
        <rFont val="Calibri"/>
        <family val="2"/>
        <scheme val="minor"/>
      </rPr>
      <t xml:space="preserve"> = Electricity generation GHG emission factors in pounds per MWh</t>
    </r>
    <r>
      <rPr>
        <vertAlign val="superscript"/>
        <sz val="11"/>
        <color theme="1"/>
        <rFont val="Calibri"/>
        <family val="2"/>
        <scheme val="minor"/>
      </rPr>
      <t xml:space="preserve"> </t>
    </r>
  </si>
  <si>
    <r>
      <t xml:space="preserve">      CE </t>
    </r>
    <r>
      <rPr>
        <sz val="11"/>
        <color theme="1"/>
        <rFont val="Calibri"/>
        <family val="2"/>
        <scheme val="minor"/>
      </rPr>
      <t>= Charging Efficiency (%)</t>
    </r>
  </si>
  <si>
    <r>
      <t xml:space="preserve">      GHGECHEi</t>
    </r>
    <r>
      <rPr>
        <sz val="11"/>
        <color theme="1"/>
        <rFont val="Calibri"/>
        <family val="2"/>
        <scheme val="minor"/>
      </rPr>
      <t xml:space="preserve"> = GHG emissions for electricity generation in metric tons in year i</t>
    </r>
  </si>
  <si>
    <r>
      <t>CAPCHEi</t>
    </r>
    <r>
      <rPr>
        <sz val="11"/>
        <color theme="1"/>
        <rFont val="Calibri"/>
        <family val="2"/>
        <scheme val="minor"/>
      </rPr>
      <t xml:space="preserve"> = CAP/HAP emission reductions for CHE in short tons in 2030</t>
    </r>
  </si>
  <si>
    <r>
      <t>CAPCHEi</t>
    </r>
    <r>
      <rPr>
        <sz val="11"/>
        <color theme="1"/>
        <rFont val="Calibri"/>
        <family val="2"/>
        <scheme val="minor"/>
      </rPr>
      <t xml:space="preserve"> = CAP/HAP emission reductions for switchers in short tons in 2030</t>
    </r>
  </si>
  <si>
    <t>(Kg/MMBtu)</t>
  </si>
  <si>
    <t>Diesel Fuel Production and Refining Emission Factor (15)</t>
  </si>
  <si>
    <t>(15) https://www.epa.gov/fuels-registration-reporting-and-compliance-help/lifecycle-greenhouse-gas-results</t>
  </si>
  <si>
    <t>https://www.epa.gov/sites/default/files/2016-07/documents/select-ghg-results-table-v1.pdf</t>
  </si>
  <si>
    <t>Upstream GHG Emission Reductions from Diesel Fuel Production and Refining</t>
  </si>
  <si>
    <t>Average miles per gallon</t>
  </si>
  <si>
    <t>Average Miles per Gallon of Diesel (2)</t>
  </si>
  <si>
    <t>Average Miles per Gallon of Diesel (4)</t>
  </si>
  <si>
    <t>Average Miles per Gallon of Diesel (3)</t>
  </si>
  <si>
    <t>Running Exhaust CO2 (g/mile) (3)</t>
  </si>
  <si>
    <t>Running Exhaust CH4 (g/mile) (3)</t>
  </si>
  <si>
    <t>Running Exhaust N2O (g/mile) (3)</t>
  </si>
  <si>
    <t>Idling CO2 (g/truck/day) (3)</t>
  </si>
  <si>
    <t>Idling CH4 (g/truck/day) (3)</t>
  </si>
  <si>
    <t>Idling N2O (g/truck/day) (3)</t>
  </si>
  <si>
    <t>(3) EMFAC2021, T6 Instate Delivery Class 4 Category, 2010 to 2017 Model Years</t>
  </si>
  <si>
    <t xml:space="preserve">Annual Miles per Truck (4) </t>
  </si>
  <si>
    <t>Diesel Fuel Heat Content LHV (Btu/gal) (16)</t>
  </si>
  <si>
    <t>(16) AFLEET Tool 2023</t>
  </si>
  <si>
    <t>(17) Assumed vehicle life</t>
  </si>
  <si>
    <t>Project Life (years) (17)</t>
  </si>
  <si>
    <t>Assuming Tier 0 switcher locomotives; PM2.5 estimated at 92% of PM10(DPM).</t>
  </si>
  <si>
    <t>In addition to the above equations, the annual upstream GHG emission reductions for this measure associated with diesel fuel production and refining are calculated based on the annual diesel fuel consumption and EPA's emission factor of 18 Kg/MMBtu.</t>
  </si>
  <si>
    <t>GHG Emission Factors for Years 2025-2029 (6)</t>
  </si>
  <si>
    <t>GHG Emission Factors for Years 2030-2044 (7)</t>
  </si>
  <si>
    <t xml:space="preserve">(6) EPA's 2024 GHG Emission Factor HUB </t>
  </si>
  <si>
    <t>(7) Average of emission factors for utilities in Los Angeles and Orange Counties reflecting CA's Renewable Portfolio Standard Program</t>
  </si>
  <si>
    <t>GHG Global Warming Potential (8)</t>
  </si>
  <si>
    <t>(8) CPRG Program Implementation Grants - General Competition Notice of Funding Opportunity, Appendix B</t>
  </si>
  <si>
    <t>GHG Emission Factors for Years 2045+ (7)</t>
  </si>
  <si>
    <t>CAP/HAP Emission Factors (g/hp-hr) (9)</t>
  </si>
  <si>
    <t>(9) EPA's 2009 Technical Highlights Emission Factors for Locomotives (Table 2);</t>
  </si>
  <si>
    <t>Diesel Fuel Production and Refining Emission Factor (10)</t>
  </si>
  <si>
    <t>(10) https://www.epa.gov/fuels-registration-reporting-and-compliance-help/lifecycle-greenhouse-gas-results</t>
  </si>
  <si>
    <t>Diesel Fuel Heat Content LHV (Btu/gal) (11)</t>
  </si>
  <si>
    <t>(11) AFLEET Tool 2023</t>
  </si>
  <si>
    <t>(9) Average of emission factors for utilities in Los Angeles and Orange Counties reflecting CA's Renewable Portfolio Standard Program;</t>
  </si>
  <si>
    <t>Yard Tractors (tons/unit/year) (11)</t>
  </si>
  <si>
    <t>Top Handlers (tons/unit/year) (11)</t>
  </si>
  <si>
    <t>(11) Calculated average emission factors for 2017 and older model years; See CHE EF Tab</t>
  </si>
  <si>
    <t>Diesel Fuel Production and Refining Emission Factor (12)</t>
  </si>
  <si>
    <t>(12) https://www.epa.gov/fuels-registration-reporting-and-compliance-help/lifecycle-greenhouse-gas-results</t>
  </si>
  <si>
    <t>Project Life (years) (13)</t>
  </si>
  <si>
    <t xml:space="preserve">(13) Assumed equipment life </t>
  </si>
  <si>
    <t>Measure G2: On-Road Heavy Duty Vehicles</t>
  </si>
  <si>
    <t>Measure G3: Cargo Handling Equipment</t>
  </si>
  <si>
    <t>Measure G4: Locomotives</t>
  </si>
  <si>
    <t>Measure G1:  Infrastructure</t>
  </si>
  <si>
    <t>Note: Equations 3 and 4 also used for calculating CPA/HAP emissions reductions based on total number of trucks in 2030 and corresponding emission factors.</t>
  </si>
  <si>
    <t>Note: For calculating CAP/HAP emission reductions, equations 2 and 3 are also used with the corresponding emission factors.</t>
  </si>
  <si>
    <t>Cumulative CO2e Reductions (metric tons) (with project life)</t>
  </si>
  <si>
    <t>Cumulative CO2e Reductions (metric tons) (without project life)</t>
  </si>
  <si>
    <t>Measure M4: Locomotives (ZE Switcher Locomotives)</t>
  </si>
  <si>
    <t>Measure M3: Cargo Handling Equipment (ZE Cargo Handling Equipment)</t>
  </si>
  <si>
    <t>Measure M2: On-Road Heavy Duty Vehicles (ZE Class 4, 5, and 8 Trucks)</t>
  </si>
  <si>
    <t>Measure M1:  Infrastructure (Assuming chargers for Class 8 HD Trucks)</t>
  </si>
  <si>
    <t>Measure M2: BE Freight Vehicle Deployment</t>
  </si>
  <si>
    <t>Measure M1:  Charging Infrastructure</t>
  </si>
  <si>
    <t>Measure M3: BE Cargo Handling Equipment Deployment</t>
  </si>
  <si>
    <t>Measure M4: BE Locomotives Pilot</t>
  </si>
  <si>
    <t>M1: Charging Infrastructure Deployment</t>
  </si>
  <si>
    <t>M2: BE Freight Vehicle Deployment</t>
  </si>
  <si>
    <t>M3: BE CHE Deployment</t>
  </si>
  <si>
    <t>M4: BE Locomotive Pilot</t>
  </si>
  <si>
    <t>Cumulative GHG Emission Reductions (metric tons CO2e)</t>
  </si>
  <si>
    <t>Annual GHG Emission Reductions (metric tons CO2e)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</si>
</sst>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0.000"/>
    <numFmt numFmtId="165" formatCode="#,##0.0"/>
    <numFmt numFmtId="166" formatCode="0.0000"/>
    <numFmt numFmtId="167" formatCode="0.0"/>
    <numFmt numFmtId="168" formatCode="0.000"/>
    <numFmt numFmtId="169" formatCode="0.0%"/>
    <numFmt numFmtId="170" formatCode="0.0E+00"/>
    <numFmt numFmtId="171" formatCode="#,##0.0000"/>
    <numFmt numFmtId="172" formatCode="_(* #,##0_);_(* \(#,##0\);_(* &quot;-&quot;??_);_(@_)"/>
    <numFmt numFmtId="173" formatCode="_(* #,##0.0_);_(* \(#,##0.0\);_(* &quot;-&quot;??_);_(@_)"/>
  </numFmts>
  <fonts count="11" x14ac:knownFonts="1">
    <font>
      <sz val="11"/>
      <color theme="1"/>
      <name val="Calibri"/>
      <family val="2"/>
      <scheme val="minor"/>
    </font>
    <font>
      <b/>
      <sz val="12"/>
      <color theme="1"/>
      <name val="Calibri"/>
      <family val="2"/>
      <scheme val="minor"/>
    </font>
    <font>
      <b/>
      <sz val="11"/>
      <color theme="1"/>
      <name val="Calibri"/>
      <family val="2"/>
      <scheme val="minor"/>
    </font>
    <font>
      <sz val="11"/>
      <name val="Calibri"/>
      <family val="2"/>
      <scheme val="minor"/>
    </font>
    <font>
      <u/>
      <sz val="11"/>
      <color theme="10"/>
      <name val="Calibri"/>
      <family val="2"/>
      <scheme val="minor"/>
    </font>
    <font>
      <sz val="11"/>
      <color theme="1"/>
      <name val="Calibri"/>
      <family val="2"/>
      <scheme val="minor"/>
    </font>
    <font>
      <sz val="8"/>
      <name val="Calibri"/>
      <family val="2"/>
      <scheme val="minor"/>
    </font>
    <font>
      <i/>
      <sz val="11"/>
      <color theme="1"/>
      <name val="Calibri"/>
      <family val="2"/>
      <scheme val="minor"/>
    </font>
    <font>
      <sz val="11"/>
      <color rgb="FF000000"/>
      <name val="Calibri"/>
      <family val="2"/>
      <scheme val="minor"/>
    </font>
    <font>
      <vertAlign val="superscript"/>
      <sz val="11"/>
      <color theme="1"/>
      <name val="Calibri"/>
      <family val="2"/>
      <scheme val="minor"/>
    </font>
    <font>
      <b/>
      <u/>
      <sz val="12"/>
      <color rgb="FF000000"/>
      <name val="Calibri"/>
      <family val="2"/>
      <scheme val="minor"/>
    </font>
  </fonts>
  <fills count="3">
    <fill>
      <patternFill patternType="none"/>
    </fill>
    <fill>
      <patternFill patternType="gray125"/>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199">
    <xf numFmtId="0" fontId="0" fillId="0" borderId="0" xfId="0"/>
    <xf numFmtId="0" fontId="0" fillId="0" borderId="1" xfId="0" applyBorder="1"/>
    <xf numFmtId="3" fontId="0" fillId="0" borderId="0" xfId="0" applyNumberFormat="1"/>
    <xf numFmtId="3" fontId="0" fillId="0" borderId="1" xfId="0" applyNumberFormat="1" applyBorder="1"/>
    <xf numFmtId="0" fontId="0" fillId="0" borderId="1" xfId="0" applyBorder="1" applyAlignment="1">
      <alignment horizontal="right"/>
    </xf>
    <xf numFmtId="0" fontId="0" fillId="0" borderId="0" xfId="0" applyAlignment="1">
      <alignment horizontal="right"/>
    </xf>
    <xf numFmtId="0" fontId="0" fillId="2" borderId="0" xfId="0" applyFill="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0" xfId="0" quotePrefix="1"/>
    <xf numFmtId="0" fontId="0" fillId="0" borderId="12" xfId="0" applyBorder="1"/>
    <xf numFmtId="0" fontId="0" fillId="0" borderId="13" xfId="0" applyBorder="1"/>
    <xf numFmtId="1" fontId="0" fillId="0" borderId="6" xfId="0" applyNumberFormat="1" applyBorder="1"/>
    <xf numFmtId="164" fontId="0" fillId="0" borderId="1" xfId="0" applyNumberFormat="1" applyBorder="1"/>
    <xf numFmtId="1" fontId="0" fillId="0" borderId="0" xfId="0" applyNumberFormat="1"/>
    <xf numFmtId="167" fontId="0" fillId="0" borderId="1" xfId="0" applyNumberFormat="1" applyBorder="1"/>
    <xf numFmtId="166" fontId="0" fillId="0" borderId="1" xfId="0" applyNumberFormat="1" applyBorder="1"/>
    <xf numFmtId="166" fontId="0" fillId="0" borderId="6" xfId="0" applyNumberFormat="1" applyBorder="1"/>
    <xf numFmtId="166" fontId="0" fillId="0" borderId="8" xfId="0" applyNumberFormat="1" applyBorder="1"/>
    <xf numFmtId="166" fontId="0" fillId="0" borderId="9" xfId="0" applyNumberFormat="1" applyBorder="1"/>
    <xf numFmtId="165" fontId="0" fillId="0" borderId="6" xfId="0" applyNumberFormat="1" applyBorder="1"/>
    <xf numFmtId="3" fontId="0" fillId="0" borderId="6" xfId="0" applyNumberFormat="1" applyBorder="1"/>
    <xf numFmtId="3" fontId="0" fillId="0" borderId="8" xfId="0" applyNumberFormat="1" applyBorder="1"/>
    <xf numFmtId="3" fontId="0" fillId="0" borderId="9" xfId="0" applyNumberFormat="1" applyBorder="1"/>
    <xf numFmtId="0" fontId="0" fillId="0" borderId="14"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3" fontId="0" fillId="0" borderId="4" xfId="0" applyNumberFormat="1" applyBorder="1"/>
    <xf numFmtId="168" fontId="0" fillId="0" borderId="8" xfId="0" applyNumberFormat="1" applyBorder="1"/>
    <xf numFmtId="1" fontId="0" fillId="0" borderId="0" xfId="0" applyNumberFormat="1" applyAlignment="1">
      <alignment horizontal="right"/>
    </xf>
    <xf numFmtId="1" fontId="0" fillId="0" borderId="1" xfId="0" applyNumberFormat="1" applyBorder="1"/>
    <xf numFmtId="2" fontId="0" fillId="0" borderId="6" xfId="0" applyNumberFormat="1" applyBorder="1"/>
    <xf numFmtId="2" fontId="0" fillId="0" borderId="1" xfId="0" applyNumberFormat="1" applyBorder="1"/>
    <xf numFmtId="168" fontId="0" fillId="0" borderId="0" xfId="0" applyNumberFormat="1"/>
    <xf numFmtId="0" fontId="0" fillId="0" borderId="6" xfId="0" applyBorder="1" applyAlignment="1">
      <alignment horizontal="right"/>
    </xf>
    <xf numFmtId="2" fontId="0" fillId="0" borderId="9" xfId="0" applyNumberFormat="1" applyBorder="1"/>
    <xf numFmtId="168" fontId="0" fillId="0" borderId="1" xfId="0" applyNumberFormat="1" applyBorder="1"/>
    <xf numFmtId="168" fontId="0" fillId="0" borderId="6" xfId="0" applyNumberFormat="1" applyBorder="1"/>
    <xf numFmtId="167" fontId="0" fillId="0" borderId="6" xfId="0" applyNumberFormat="1" applyBorder="1"/>
    <xf numFmtId="0" fontId="0" fillId="0" borderId="18" xfId="0" applyBorder="1"/>
    <xf numFmtId="167" fontId="0" fillId="0" borderId="9" xfId="0" applyNumberFormat="1" applyBorder="1"/>
    <xf numFmtId="0" fontId="1" fillId="0" borderId="0" xfId="0" applyFont="1"/>
    <xf numFmtId="0" fontId="0" fillId="0" borderId="12" xfId="0" quotePrefix="1" applyBorder="1"/>
    <xf numFmtId="0" fontId="0" fillId="0" borderId="14" xfId="0" applyBorder="1"/>
    <xf numFmtId="164" fontId="0" fillId="0" borderId="6" xfId="0" applyNumberFormat="1" applyBorder="1"/>
    <xf numFmtId="9" fontId="0" fillId="0" borderId="14" xfId="0" applyNumberFormat="1" applyBorder="1"/>
    <xf numFmtId="9" fontId="0" fillId="0" borderId="0" xfId="0" applyNumberFormat="1"/>
    <xf numFmtId="0" fontId="2" fillId="0" borderId="0" xfId="0" applyFont="1"/>
    <xf numFmtId="0" fontId="2" fillId="0" borderId="1" xfId="0" applyFont="1" applyBorder="1"/>
    <xf numFmtId="0" fontId="2" fillId="0" borderId="2" xfId="0" applyFont="1" applyBorder="1"/>
    <xf numFmtId="0" fontId="2" fillId="0" borderId="5" xfId="0" applyFont="1" applyBorder="1"/>
    <xf numFmtId="0" fontId="2" fillId="0" borderId="6" xfId="0" applyFont="1" applyBorder="1"/>
    <xf numFmtId="0" fontId="2" fillId="0" borderId="8" xfId="0" applyFont="1" applyBorder="1"/>
    <xf numFmtId="0" fontId="2" fillId="0" borderId="9" xfId="0" applyFont="1" applyBorder="1"/>
    <xf numFmtId="0" fontId="2" fillId="0" borderId="3" xfId="0" applyFont="1" applyBorder="1"/>
    <xf numFmtId="0" fontId="2" fillId="0" borderId="4" xfId="0" applyFont="1" applyBorder="1"/>
    <xf numFmtId="0" fontId="2" fillId="0" borderId="7" xfId="0" applyFont="1" applyBorder="1"/>
    <xf numFmtId="3" fontId="2" fillId="0" borderId="1" xfId="0" applyNumberFormat="1" applyFont="1" applyBorder="1"/>
    <xf numFmtId="167" fontId="2" fillId="0" borderId="1" xfId="0" applyNumberFormat="1" applyFont="1" applyBorder="1"/>
    <xf numFmtId="167" fontId="2" fillId="0" borderId="6" xfId="0" applyNumberFormat="1" applyFont="1" applyBorder="1"/>
    <xf numFmtId="165" fontId="2" fillId="0" borderId="1" xfId="0" applyNumberFormat="1" applyFont="1" applyBorder="1"/>
    <xf numFmtId="165" fontId="2" fillId="0" borderId="8" xfId="0" applyNumberFormat="1" applyFont="1" applyBorder="1"/>
    <xf numFmtId="169" fontId="0" fillId="0" borderId="21" xfId="0" applyNumberFormat="1" applyBorder="1"/>
    <xf numFmtId="0" fontId="0" fillId="0" borderId="16" xfId="0" applyBorder="1" applyAlignment="1">
      <alignment horizontal="center"/>
    </xf>
    <xf numFmtId="0" fontId="0" fillId="0" borderId="17" xfId="0" applyBorder="1" applyAlignment="1">
      <alignment horizontal="right" vertical="center" wrapText="1"/>
    </xf>
    <xf numFmtId="0" fontId="0" fillId="0" borderId="20" xfId="0" applyBorder="1" applyAlignment="1">
      <alignment horizontal="right" vertical="center"/>
    </xf>
    <xf numFmtId="167" fontId="0" fillId="0" borderId="0" xfId="0" applyNumberFormat="1"/>
    <xf numFmtId="166" fontId="0" fillId="0" borderId="0" xfId="0" applyNumberFormat="1"/>
    <xf numFmtId="2" fontId="0" fillId="0" borderId="0" xfId="0" applyNumberFormat="1"/>
    <xf numFmtId="9" fontId="0" fillId="0" borderId="1" xfId="0" applyNumberFormat="1" applyBorder="1"/>
    <xf numFmtId="0" fontId="3" fillId="0" borderId="0" xfId="0" applyFont="1"/>
    <xf numFmtId="0" fontId="2" fillId="0" borderId="1" xfId="0" applyFont="1" applyBorder="1" applyAlignment="1">
      <alignment horizontal="right"/>
    </xf>
    <xf numFmtId="0" fontId="2" fillId="0" borderId="6" xfId="0" applyFont="1" applyBorder="1" applyAlignment="1">
      <alignment horizontal="right"/>
    </xf>
    <xf numFmtId="168" fontId="0" fillId="0" borderId="9" xfId="0" applyNumberFormat="1" applyBorder="1"/>
    <xf numFmtId="0" fontId="4" fillId="0" borderId="0" xfId="1"/>
    <xf numFmtId="0" fontId="2" fillId="0" borderId="0" xfId="0" applyFont="1" applyAlignment="1">
      <alignment horizontal="right" vertical="center"/>
    </xf>
    <xf numFmtId="0" fontId="0" fillId="0" borderId="2" xfId="0" quotePrefix="1" applyBorder="1"/>
    <xf numFmtId="0" fontId="4" fillId="0" borderId="0" xfId="1" applyBorder="1"/>
    <xf numFmtId="11" fontId="0" fillId="0" borderId="1" xfId="0" applyNumberFormat="1" applyBorder="1"/>
    <xf numFmtId="170" fontId="0" fillId="0" borderId="1" xfId="0" applyNumberFormat="1" applyBorder="1"/>
    <xf numFmtId="0" fontId="2" fillId="0" borderId="1" xfId="0" applyFont="1" applyBorder="1" applyAlignment="1">
      <alignment horizontal="right" vertical="center"/>
    </xf>
    <xf numFmtId="168" fontId="2" fillId="0" borderId="1" xfId="0" applyNumberFormat="1" applyFont="1" applyBorder="1"/>
    <xf numFmtId="0" fontId="0" fillId="0" borderId="0" xfId="0" applyAlignment="1">
      <alignment horizontal="center" vertical="center"/>
    </xf>
    <xf numFmtId="168" fontId="2" fillId="0" borderId="0" xfId="0" applyNumberFormat="1" applyFont="1"/>
    <xf numFmtId="168" fontId="2" fillId="0" borderId="1" xfId="0" applyNumberFormat="1" applyFont="1" applyBorder="1" applyAlignment="1">
      <alignment horizontal="right" vertical="center"/>
    </xf>
    <xf numFmtId="0" fontId="0" fillId="2" borderId="0" xfId="0" applyFill="1" applyAlignment="1">
      <alignment horizontal="right"/>
    </xf>
    <xf numFmtId="171" fontId="0" fillId="0" borderId="1" xfId="0" applyNumberFormat="1" applyBorder="1"/>
    <xf numFmtId="0" fontId="2" fillId="0" borderId="25" xfId="0" applyFont="1" applyBorder="1"/>
    <xf numFmtId="0" fontId="2" fillId="0" borderId="26" xfId="0" applyFont="1" applyBorder="1"/>
    <xf numFmtId="0" fontId="2" fillId="0" borderId="27" xfId="0" applyFont="1" applyBorder="1"/>
    <xf numFmtId="172" fontId="0" fillId="0" borderId="1" xfId="2" applyNumberFormat="1" applyFont="1" applyBorder="1" applyAlignment="1">
      <alignment horizontal="right"/>
    </xf>
    <xf numFmtId="172" fontId="0" fillId="0" borderId="1" xfId="0" applyNumberFormat="1" applyBorder="1"/>
    <xf numFmtId="172" fontId="0" fillId="0" borderId="0" xfId="0" applyNumberFormat="1"/>
    <xf numFmtId="43" fontId="0" fillId="0" borderId="1" xfId="0" applyNumberFormat="1" applyBorder="1"/>
    <xf numFmtId="3" fontId="0" fillId="0" borderId="11" xfId="0" applyNumberFormat="1" applyBorder="1"/>
    <xf numFmtId="165" fontId="0" fillId="0" borderId="1" xfId="0" applyNumberFormat="1" applyBorder="1"/>
    <xf numFmtId="0" fontId="0" fillId="0" borderId="22" xfId="0" applyBorder="1"/>
    <xf numFmtId="166" fontId="0" fillId="0" borderId="23" xfId="0" applyNumberFormat="1" applyBorder="1"/>
    <xf numFmtId="166" fontId="0" fillId="0" borderId="24" xfId="0" applyNumberFormat="1" applyBorder="1"/>
    <xf numFmtId="9" fontId="0" fillId="0" borderId="6" xfId="0" applyNumberFormat="1" applyBorder="1"/>
    <xf numFmtId="172" fontId="0" fillId="0" borderId="6" xfId="2" applyNumberFormat="1" applyFont="1" applyBorder="1" applyAlignment="1">
      <alignment horizontal="right"/>
    </xf>
    <xf numFmtId="172" fontId="0" fillId="0" borderId="6" xfId="0" applyNumberFormat="1" applyBorder="1"/>
    <xf numFmtId="172" fontId="0" fillId="0" borderId="8" xfId="0" applyNumberFormat="1" applyBorder="1"/>
    <xf numFmtId="172" fontId="3" fillId="0" borderId="1" xfId="2" applyNumberFormat="1" applyFont="1" applyBorder="1" applyAlignment="1">
      <alignment horizontal="right"/>
    </xf>
    <xf numFmtId="172" fontId="3" fillId="0" borderId="6" xfId="2" applyNumberFormat="1" applyFont="1" applyBorder="1" applyAlignment="1">
      <alignment horizontal="right"/>
    </xf>
    <xf numFmtId="43" fontId="0" fillId="0" borderId="6" xfId="0" applyNumberFormat="1" applyBorder="1"/>
    <xf numFmtId="0" fontId="3" fillId="0" borderId="5" xfId="0" applyFont="1" applyBorder="1"/>
    <xf numFmtId="165" fontId="3" fillId="0" borderId="1" xfId="0" applyNumberFormat="1" applyFont="1" applyBorder="1"/>
    <xf numFmtId="165" fontId="3" fillId="0" borderId="6" xfId="0" applyNumberFormat="1" applyFont="1" applyBorder="1"/>
    <xf numFmtId="166" fontId="3" fillId="0" borderId="1" xfId="0" applyNumberFormat="1" applyFont="1" applyBorder="1"/>
    <xf numFmtId="166" fontId="3" fillId="0" borderId="6" xfId="0" applyNumberFormat="1" applyFont="1" applyBorder="1"/>
    <xf numFmtId="0" fontId="3" fillId="0" borderId="7" xfId="0" applyFont="1" applyBorder="1"/>
    <xf numFmtId="166" fontId="3" fillId="0" borderId="8" xfId="0" applyNumberFormat="1" applyFont="1" applyBorder="1"/>
    <xf numFmtId="166" fontId="3" fillId="0" borderId="9" xfId="0" applyNumberFormat="1" applyFont="1" applyBorder="1"/>
    <xf numFmtId="166" fontId="3" fillId="0" borderId="0" xfId="0" applyNumberFormat="1" applyFont="1"/>
    <xf numFmtId="0" fontId="3" fillId="0" borderId="0" xfId="0" quotePrefix="1" applyFont="1"/>
    <xf numFmtId="0" fontId="2" fillId="0" borderId="12" xfId="0" applyFont="1" applyBorder="1"/>
    <xf numFmtId="0" fontId="2" fillId="0" borderId="14" xfId="0" applyFont="1" applyBorder="1"/>
    <xf numFmtId="0" fontId="0" fillId="0" borderId="0" xfId="0" applyAlignment="1">
      <alignment horizontal="left"/>
    </xf>
    <xf numFmtId="3" fontId="2" fillId="0" borderId="6" xfId="0" applyNumberFormat="1" applyFont="1" applyBorder="1"/>
    <xf numFmtId="3" fontId="2" fillId="0" borderId="8" xfId="0" applyNumberFormat="1" applyFont="1" applyBorder="1"/>
    <xf numFmtId="3" fontId="2" fillId="0" borderId="9" xfId="0" applyNumberFormat="1" applyFont="1" applyBorder="1"/>
    <xf numFmtId="165" fontId="2" fillId="0" borderId="9" xfId="0" applyNumberFormat="1" applyFont="1" applyBorder="1"/>
    <xf numFmtId="0" fontId="2" fillId="0" borderId="3" xfId="0" applyFont="1" applyBorder="1" applyAlignment="1">
      <alignment horizontal="right"/>
    </xf>
    <xf numFmtId="0" fontId="2" fillId="0" borderId="4" xfId="0" applyFont="1" applyBorder="1" applyAlignment="1">
      <alignment horizontal="right"/>
    </xf>
    <xf numFmtId="0" fontId="2" fillId="0" borderId="30" xfId="0" applyFont="1" applyBorder="1"/>
    <xf numFmtId="0" fontId="1" fillId="0" borderId="2" xfId="0" applyFont="1" applyBorder="1"/>
    <xf numFmtId="173" fontId="0" fillId="0" borderId="6" xfId="0" applyNumberFormat="1" applyBorder="1"/>
    <xf numFmtId="173" fontId="0" fillId="0" borderId="9" xfId="0" applyNumberFormat="1" applyBorder="1"/>
    <xf numFmtId="0" fontId="0" fillId="0" borderId="28" xfId="0" applyBorder="1"/>
    <xf numFmtId="0" fontId="0" fillId="0" borderId="0" xfId="0" applyAlignment="1">
      <alignment vertical="center"/>
    </xf>
    <xf numFmtId="0" fontId="0" fillId="0" borderId="0" xfId="0" applyAlignment="1">
      <alignment horizontal="left" vertical="center" indent="2"/>
    </xf>
    <xf numFmtId="0" fontId="7" fillId="0" borderId="0" xfId="0" applyFont="1"/>
    <xf numFmtId="0" fontId="7" fillId="0" borderId="0" xfId="0" applyFont="1" applyAlignment="1">
      <alignment horizontal="left" vertical="center" indent="2"/>
    </xf>
    <xf numFmtId="0" fontId="8" fillId="0" borderId="0" xfId="0" applyFont="1"/>
    <xf numFmtId="0" fontId="7" fillId="0" borderId="0" xfId="0" applyFont="1" applyAlignment="1">
      <alignment vertical="center"/>
    </xf>
    <xf numFmtId="0" fontId="0" fillId="0" borderId="0" xfId="0" quotePrefix="1" applyAlignment="1">
      <alignment horizontal="left" vertical="center" indent="2"/>
    </xf>
    <xf numFmtId="0" fontId="10" fillId="0" borderId="0" xfId="0" applyFont="1"/>
    <xf numFmtId="0" fontId="0" fillId="0" borderId="7" xfId="0" quotePrefix="1" applyBorder="1"/>
    <xf numFmtId="4" fontId="0" fillId="0" borderId="1" xfId="0" applyNumberFormat="1" applyBorder="1"/>
    <xf numFmtId="4" fontId="0" fillId="0" borderId="6" xfId="0" applyNumberFormat="1" applyBorder="1"/>
    <xf numFmtId="4" fontId="0" fillId="0" borderId="11" xfId="0" applyNumberFormat="1" applyBorder="1"/>
    <xf numFmtId="3" fontId="0" fillId="0" borderId="19" xfId="0" applyNumberFormat="1" applyBorder="1"/>
    <xf numFmtId="4" fontId="0" fillId="0" borderId="19" xfId="0" applyNumberFormat="1" applyBorder="1"/>
    <xf numFmtId="3" fontId="0" fillId="0" borderId="14" xfId="0" applyNumberFormat="1" applyBorder="1"/>
    <xf numFmtId="2" fontId="0" fillId="0" borderId="8" xfId="0" applyNumberFormat="1" applyBorder="1"/>
    <xf numFmtId="3" fontId="3" fillId="0" borderId="1" xfId="0" applyNumberFormat="1" applyFont="1" applyBorder="1"/>
    <xf numFmtId="4" fontId="3" fillId="0" borderId="1" xfId="0" applyNumberFormat="1" applyFont="1" applyBorder="1"/>
    <xf numFmtId="3" fontId="3" fillId="0" borderId="6" xfId="0" applyNumberFormat="1" applyFont="1" applyBorder="1"/>
    <xf numFmtId="4" fontId="3" fillId="0" borderId="6" xfId="0" applyNumberFormat="1" applyFont="1" applyBorder="1"/>
    <xf numFmtId="3" fontId="2" fillId="0" borderId="0" xfId="0" applyNumberFormat="1" applyFont="1"/>
    <xf numFmtId="3" fontId="2" fillId="0" borderId="11" xfId="0" applyNumberFormat="1" applyFont="1" applyBorder="1"/>
    <xf numFmtId="167" fontId="2" fillId="0" borderId="1" xfId="0" applyNumberFormat="1" applyFont="1" applyBorder="1" applyAlignment="1">
      <alignment horizontal="right"/>
    </xf>
    <xf numFmtId="167" fontId="2" fillId="0" borderId="6" xfId="0" applyNumberFormat="1" applyFont="1" applyBorder="1" applyAlignment="1">
      <alignment horizontal="right"/>
    </xf>
    <xf numFmtId="3" fontId="2" fillId="0" borderId="11" xfId="0" applyNumberFormat="1" applyFont="1" applyBorder="1" applyAlignment="1">
      <alignment horizontal="right"/>
    </xf>
    <xf numFmtId="3" fontId="2" fillId="0" borderId="19" xfId="0" applyNumberFormat="1" applyFont="1" applyBorder="1" applyAlignment="1">
      <alignment horizontal="right"/>
    </xf>
    <xf numFmtId="3" fontId="2" fillId="0" borderId="19" xfId="0" applyNumberFormat="1" applyFont="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16" xfId="0" applyFont="1" applyBorder="1" applyAlignment="1">
      <alignment horizontal="center"/>
    </xf>
    <xf numFmtId="0" fontId="2" fillId="0" borderId="15" xfId="0" applyFont="1" applyBorder="1" applyAlignment="1">
      <alignment horizontal="center"/>
    </xf>
    <xf numFmtId="0" fontId="0" fillId="0" borderId="5" xfId="0" applyBorder="1" applyAlignment="1">
      <alignment horizontal="left"/>
    </xf>
    <xf numFmtId="0" fontId="0" fillId="0" borderId="1"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34" xfId="0" applyBorder="1" applyAlignment="1">
      <alignment horizontal="left"/>
    </xf>
    <xf numFmtId="0" fontId="0" fillId="0" borderId="26" xfId="0" applyBorder="1" applyAlignment="1">
      <alignment horizontal="left"/>
    </xf>
    <xf numFmtId="0" fontId="0" fillId="0" borderId="35" xfId="0" applyBorder="1" applyAlignment="1">
      <alignment horizontal="left"/>
    </xf>
    <xf numFmtId="0" fontId="0" fillId="0" borderId="27" xfId="0" applyBorder="1" applyAlignment="1">
      <alignment horizontal="left"/>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29" xfId="0" applyBorder="1" applyAlignment="1">
      <alignment horizontal="center"/>
    </xf>
    <xf numFmtId="0" fontId="0" fillId="0" borderId="25" xfId="0" applyBorder="1" applyAlignment="1">
      <alignment horizontal="center"/>
    </xf>
    <xf numFmtId="0" fontId="0" fillId="0" borderId="1" xfId="0" applyBorder="1" applyAlignment="1">
      <alignment horizontal="center"/>
    </xf>
    <xf numFmtId="0" fontId="0" fillId="0" borderId="1" xfId="0" applyBorder="1" applyAlignment="1">
      <alignment horizontal="left" vertical="center" wrapText="1"/>
    </xf>
    <xf numFmtId="0" fontId="0" fillId="0" borderId="4" xfId="0"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0" fillId="0" borderId="17" xfId="0" applyBorder="1" applyAlignment="1">
      <alignment horizontal="right" vertical="top" wrapText="1"/>
    </xf>
    <xf numFmtId="0" fontId="0" fillId="0" borderId="11" xfId="0" applyBorder="1" applyAlignment="1">
      <alignment horizontal="right" vertical="top" wrapText="1"/>
    </xf>
    <xf numFmtId="0" fontId="0" fillId="0" borderId="20" xfId="0" applyBorder="1" applyAlignment="1">
      <alignment horizontal="right" vertical="top" wrapText="1"/>
    </xf>
    <xf numFmtId="0" fontId="0" fillId="0" borderId="19" xfId="0" applyBorder="1" applyAlignment="1">
      <alignment horizontal="right" vertical="top" wrapText="1"/>
    </xf>
    <xf numFmtId="0" fontId="0" fillId="0" borderId="1" xfId="0" applyBorder="1" applyAlignment="1">
      <alignment horizontal="center" vertical="center"/>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9</xdr:col>
      <xdr:colOff>457200</xdr:colOff>
      <xdr:row>5</xdr:row>
      <xdr:rowOff>0</xdr:rowOff>
    </xdr:to>
    <xdr:pic>
      <xdr:nvPicPr>
        <xdr:cNvPr id="11" name="Picture 10">
          <a:extLst>
            <a:ext uri="{FF2B5EF4-FFF2-40B4-BE49-F238E27FC236}">
              <a16:creationId xmlns:a16="http://schemas.microsoft.com/office/drawing/2014/main" id="{3A23CDEE-FF58-AFB4-4284-8482ED2CC2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6760"/>
          <a:ext cx="594360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9</xdr:col>
      <xdr:colOff>457200</xdr:colOff>
      <xdr:row>22</xdr:row>
      <xdr:rowOff>106680</xdr:rowOff>
    </xdr:to>
    <xdr:pic>
      <xdr:nvPicPr>
        <xdr:cNvPr id="13" name="Picture 12">
          <a:extLst>
            <a:ext uri="{FF2B5EF4-FFF2-40B4-BE49-F238E27FC236}">
              <a16:creationId xmlns:a16="http://schemas.microsoft.com/office/drawing/2014/main" id="{9A0545DF-D95F-742C-9230-7536F425AA8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85572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35</xdr:row>
      <xdr:rowOff>0</xdr:rowOff>
    </xdr:from>
    <xdr:to>
      <xdr:col>9</xdr:col>
      <xdr:colOff>457200</xdr:colOff>
      <xdr:row>36</xdr:row>
      <xdr:rowOff>106680</xdr:rowOff>
    </xdr:to>
    <xdr:pic>
      <xdr:nvPicPr>
        <xdr:cNvPr id="15" name="Picture 14">
          <a:extLst>
            <a:ext uri="{FF2B5EF4-FFF2-40B4-BE49-F238E27FC236}">
              <a16:creationId xmlns:a16="http://schemas.microsoft.com/office/drawing/2014/main" id="{86CD89E4-7E6B-4902-47EE-BEF5F1705D8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641604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54</xdr:row>
      <xdr:rowOff>0</xdr:rowOff>
    </xdr:from>
    <xdr:to>
      <xdr:col>9</xdr:col>
      <xdr:colOff>457200</xdr:colOff>
      <xdr:row>55</xdr:row>
      <xdr:rowOff>106680</xdr:rowOff>
    </xdr:to>
    <xdr:pic>
      <xdr:nvPicPr>
        <xdr:cNvPr id="23" name="Picture 22">
          <a:extLst>
            <a:ext uri="{FF2B5EF4-FFF2-40B4-BE49-F238E27FC236}">
              <a16:creationId xmlns:a16="http://schemas.microsoft.com/office/drawing/2014/main" id="{CC5F219E-B95E-D264-3956-827E6C6B4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990600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65</xdr:row>
      <xdr:rowOff>0</xdr:rowOff>
    </xdr:from>
    <xdr:to>
      <xdr:col>9</xdr:col>
      <xdr:colOff>457200</xdr:colOff>
      <xdr:row>66</xdr:row>
      <xdr:rowOff>106680</xdr:rowOff>
    </xdr:to>
    <xdr:pic>
      <xdr:nvPicPr>
        <xdr:cNvPr id="25" name="Picture 24">
          <a:extLst>
            <a:ext uri="{FF2B5EF4-FFF2-40B4-BE49-F238E27FC236}">
              <a16:creationId xmlns:a16="http://schemas.microsoft.com/office/drawing/2014/main" id="{63596FF5-498B-BB74-1A82-DEB355BAEEA6}"/>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1191768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77</xdr:row>
      <xdr:rowOff>0</xdr:rowOff>
    </xdr:from>
    <xdr:to>
      <xdr:col>9</xdr:col>
      <xdr:colOff>457200</xdr:colOff>
      <xdr:row>78</xdr:row>
      <xdr:rowOff>0</xdr:rowOff>
    </xdr:to>
    <xdr:pic>
      <xdr:nvPicPr>
        <xdr:cNvPr id="27" name="Picture 26">
          <a:extLst>
            <a:ext uri="{FF2B5EF4-FFF2-40B4-BE49-F238E27FC236}">
              <a16:creationId xmlns:a16="http://schemas.microsoft.com/office/drawing/2014/main" id="{3CADBA41-F6CA-DBB6-3211-008CA8F5932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0" y="13746480"/>
          <a:ext cx="594360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96</xdr:row>
      <xdr:rowOff>0</xdr:rowOff>
    </xdr:from>
    <xdr:to>
      <xdr:col>9</xdr:col>
      <xdr:colOff>457200</xdr:colOff>
      <xdr:row>97</xdr:row>
      <xdr:rowOff>106680</xdr:rowOff>
    </xdr:to>
    <xdr:pic>
      <xdr:nvPicPr>
        <xdr:cNvPr id="28" name="Picture 27">
          <a:extLst>
            <a:ext uri="{FF2B5EF4-FFF2-40B4-BE49-F238E27FC236}">
              <a16:creationId xmlns:a16="http://schemas.microsoft.com/office/drawing/2014/main" id="{D8A5B081-25FD-BC41-C9BA-8A11BABB8ADF}"/>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0" y="1760220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110</xdr:row>
      <xdr:rowOff>0</xdr:rowOff>
    </xdr:from>
    <xdr:to>
      <xdr:col>9</xdr:col>
      <xdr:colOff>457200</xdr:colOff>
      <xdr:row>112</xdr:row>
      <xdr:rowOff>0</xdr:rowOff>
    </xdr:to>
    <xdr:pic>
      <xdr:nvPicPr>
        <xdr:cNvPr id="29" name="Picture 28">
          <a:extLst>
            <a:ext uri="{FF2B5EF4-FFF2-40B4-BE49-F238E27FC236}">
              <a16:creationId xmlns:a16="http://schemas.microsoft.com/office/drawing/2014/main" id="{29F7111D-35E2-D7A3-57F1-43AC8893FE38}"/>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0" y="20162520"/>
          <a:ext cx="5943600" cy="365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129</xdr:row>
      <xdr:rowOff>0</xdr:rowOff>
    </xdr:from>
    <xdr:to>
      <xdr:col>9</xdr:col>
      <xdr:colOff>457200</xdr:colOff>
      <xdr:row>130</xdr:row>
      <xdr:rowOff>106680</xdr:rowOff>
    </xdr:to>
    <xdr:pic>
      <xdr:nvPicPr>
        <xdr:cNvPr id="30" name="Picture 29">
          <a:extLst>
            <a:ext uri="{FF2B5EF4-FFF2-40B4-BE49-F238E27FC236}">
              <a16:creationId xmlns:a16="http://schemas.microsoft.com/office/drawing/2014/main" id="{69414909-3B2A-A0F5-625C-DD90520F1C5D}"/>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0" y="2366010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142</xdr:row>
      <xdr:rowOff>0</xdr:rowOff>
    </xdr:from>
    <xdr:to>
      <xdr:col>9</xdr:col>
      <xdr:colOff>457200</xdr:colOff>
      <xdr:row>143</xdr:row>
      <xdr:rowOff>106680</xdr:rowOff>
    </xdr:to>
    <xdr:pic>
      <xdr:nvPicPr>
        <xdr:cNvPr id="31" name="Picture 30">
          <a:extLst>
            <a:ext uri="{FF2B5EF4-FFF2-40B4-BE49-F238E27FC236}">
              <a16:creationId xmlns:a16="http://schemas.microsoft.com/office/drawing/2014/main" id="{452E7A13-5DE7-6E9E-0763-E4A48779E9B1}"/>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0" y="2623566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153</xdr:row>
      <xdr:rowOff>0</xdr:rowOff>
    </xdr:from>
    <xdr:to>
      <xdr:col>9</xdr:col>
      <xdr:colOff>457200</xdr:colOff>
      <xdr:row>154</xdr:row>
      <xdr:rowOff>0</xdr:rowOff>
    </xdr:to>
    <xdr:pic>
      <xdr:nvPicPr>
        <xdr:cNvPr id="32" name="Picture 31">
          <a:extLst>
            <a:ext uri="{FF2B5EF4-FFF2-40B4-BE49-F238E27FC236}">
              <a16:creationId xmlns:a16="http://schemas.microsoft.com/office/drawing/2014/main" id="{10E9F5D6-AC6C-E2FD-A625-F5D97052101D}"/>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0" y="28247340"/>
          <a:ext cx="594360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169</xdr:row>
      <xdr:rowOff>0</xdr:rowOff>
    </xdr:from>
    <xdr:to>
      <xdr:col>9</xdr:col>
      <xdr:colOff>457200</xdr:colOff>
      <xdr:row>170</xdr:row>
      <xdr:rowOff>106680</xdr:rowOff>
    </xdr:to>
    <xdr:pic>
      <xdr:nvPicPr>
        <xdr:cNvPr id="33" name="Picture 32">
          <a:extLst>
            <a:ext uri="{FF2B5EF4-FFF2-40B4-BE49-F238E27FC236}">
              <a16:creationId xmlns:a16="http://schemas.microsoft.com/office/drawing/2014/main" id="{3D74415F-38D1-C4B0-99D8-F321A5A2F02E}"/>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0" y="31196280"/>
          <a:ext cx="5943600" cy="28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epa.gov/climateleadership/ghg-emission-factors-hub" TargetMode="External"/><Relationship Id="rId2" Type="http://schemas.openxmlformats.org/officeDocument/2006/relationships/hyperlink" Target="https://afdc.energy.gov/files/pdfs/argonne_phev_evaluation_report.pdf" TargetMode="External"/><Relationship Id="rId1" Type="http://schemas.openxmlformats.org/officeDocument/2006/relationships/hyperlink" Target="https://www.epa.gov/egrid/frequent-questions-about-egrid" TargetMode="External"/><Relationship Id="rId4" Type="http://schemas.openxmlformats.org/officeDocument/2006/relationships/hyperlink" Target="https://www.epa.gov/sites/default/files/2016-07/documents/select-ghg-results-table-v1.pdf"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epa.gov/climateleadership/ghg-emission-factors-hub" TargetMode="External"/><Relationship Id="rId2" Type="http://schemas.openxmlformats.org/officeDocument/2006/relationships/hyperlink" Target="https://afdc.energy.gov/files/pdfs/argonne_phev_evaluation_report.pdf" TargetMode="External"/><Relationship Id="rId1" Type="http://schemas.openxmlformats.org/officeDocument/2006/relationships/hyperlink" Target="https://www.epa.gov/egrid/frequent-questions-about-egrid" TargetMode="External"/><Relationship Id="rId5" Type="http://schemas.openxmlformats.org/officeDocument/2006/relationships/hyperlink" Target="https://www.epa.gov/sites/default/files/2016-07/documents/select-ghg-results-table-v1.pdf" TargetMode="External"/><Relationship Id="rId4" Type="http://schemas.openxmlformats.org/officeDocument/2006/relationships/hyperlink" Target="https://ww2.arb.ca.gov/sites/default/files/2018-11/180124hdbevefficiency.pdf"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epa.gov/climateleadership/ghg-emission-factors-hub" TargetMode="External"/><Relationship Id="rId2" Type="http://schemas.openxmlformats.org/officeDocument/2006/relationships/hyperlink" Target="https://afdc.energy.gov/files/pdfs/argonne_phev_evaluation_report.pdf" TargetMode="External"/><Relationship Id="rId1" Type="http://schemas.openxmlformats.org/officeDocument/2006/relationships/hyperlink" Target="https://www.epa.gov/egrid/frequent-questions-about-egrid" TargetMode="External"/><Relationship Id="rId4" Type="http://schemas.openxmlformats.org/officeDocument/2006/relationships/hyperlink" Target="https://www.epa.gov/sites/default/files/2016-07/documents/select-ghg-results-table-v1.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afdc.energy.gov/files/pdfs/argonne_phev_evaluation_report.pdf" TargetMode="External"/><Relationship Id="rId2" Type="http://schemas.openxmlformats.org/officeDocument/2006/relationships/hyperlink" Target="https://www.epa.gov/egrid/frequent-questions-about-egrid" TargetMode="External"/><Relationship Id="rId1" Type="http://schemas.openxmlformats.org/officeDocument/2006/relationships/hyperlink" Target="https://www.epa.gov/climateleadership/ghg-emission-factors-hub" TargetMode="External"/><Relationship Id="rId6" Type="http://schemas.openxmlformats.org/officeDocument/2006/relationships/printerSettings" Target="../printerSettings/printerSettings2.bin"/><Relationship Id="rId5" Type="http://schemas.openxmlformats.org/officeDocument/2006/relationships/hyperlink" Target="https://www.epa.gov/sites/default/files/2016-07/documents/select-ghg-results-table-v1.pdf" TargetMode="External"/><Relationship Id="rId4" Type="http://schemas.openxmlformats.org/officeDocument/2006/relationships/hyperlink" Target="https://www.epa.gov/climateleadership/ghg-emission-factors-hub"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2.arb.ca.gov/our-work/programs/msei/road-categories/road-diesel-models-and-documentation" TargetMode="External"/><Relationship Id="rId2" Type="http://schemas.openxmlformats.org/officeDocument/2006/relationships/hyperlink" Target="https://www.epa.gov/climateleadership/ghg-emission-factors-hub" TargetMode="External"/><Relationship Id="rId1" Type="http://schemas.openxmlformats.org/officeDocument/2006/relationships/hyperlink" Target="https://nepis.epa.gov/Exe/ZyNET.exe/P100UXEN.TXT?ZyActionD=ZyDocument&amp;Client=EPA&amp;Index=2016+Thru+2020&amp;Docs=&amp;Query=&amp;Time=&amp;EndTime=&amp;SearchMethod=1&amp;TocRestrict=n&amp;Toc=&amp;TocEntry=&amp;QField=&amp;QFieldYear=&amp;QFieldMonth=&amp;QFieldDay=&amp;IntQFieldOp=0&amp;ExtQFieldOp=0&amp;XmlQuery=&amp;File=D%3A%5Czyfiles%5CIndex%20Data%5C16thru20%5CTxt%5C00000008%5CP100UXEN.txt&amp;User=ANONYMOUS&amp;Password=anonymous&amp;SortMethod=h%7C-&amp;MaximumDocuments=1&amp;FuzzyDegree=0&amp;ImageQuality=r75g8/r75g8/x150y150g16/i425&amp;Display=hpfr&amp;DefSeekPage=x&amp;SearchBack=ZyActionL&amp;Back=ZyActionS&amp;BackDesc=Results%20page&amp;MaximumPages=1&amp;ZyEntry=1&amp;SeekPage=x&amp;ZyPURL" TargetMode="External"/><Relationship Id="rId5" Type="http://schemas.openxmlformats.org/officeDocument/2006/relationships/hyperlink" Target="https://arb.ca.gov/emfac/offroad/emissions-inventory/e263cdd9de130c5e61759e36d202a9e6bbe4a24e" TargetMode="External"/><Relationship Id="rId4" Type="http://schemas.openxmlformats.org/officeDocument/2006/relationships/hyperlink" Target="https://arb.ca.gov/emfac/offroad/emissions-inventory/e263cdd9de130c5e61759e36d202a9e6bbe4a24e"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B40"/>
  <sheetViews>
    <sheetView topLeftCell="A15" workbookViewId="0">
      <selection activeCell="G40" sqref="G40"/>
    </sheetView>
  </sheetViews>
  <sheetFormatPr defaultRowHeight="15" x14ac:dyDescent="0.25"/>
  <cols>
    <col min="2" max="2" width="39.28515625" customWidth="1"/>
    <col min="3" max="4" width="14.28515625" customWidth="1"/>
    <col min="5" max="5" width="12.28515625" customWidth="1"/>
    <col min="6" max="11" width="10.140625" customWidth="1"/>
    <col min="12" max="12" width="10.85546875" customWidth="1"/>
    <col min="13" max="13" width="10.5703125" customWidth="1"/>
    <col min="14" max="14" width="9.85546875" customWidth="1"/>
    <col min="15" max="15" width="10.140625" customWidth="1"/>
    <col min="16" max="25" width="10.28515625" customWidth="1"/>
    <col min="26" max="26" width="10.7109375" customWidth="1"/>
    <col min="27" max="27" width="11" customWidth="1"/>
    <col min="28" max="28" width="10.42578125" customWidth="1"/>
  </cols>
  <sheetData>
    <row r="1" spans="2:28" ht="15.75" x14ac:dyDescent="0.25">
      <c r="B1" s="48"/>
    </row>
    <row r="2" spans="2:28" ht="16.5" thickBot="1" x14ac:dyDescent="0.3">
      <c r="B2" s="48" t="s">
        <v>458</v>
      </c>
    </row>
    <row r="3" spans="2:28" x14ac:dyDescent="0.25">
      <c r="B3" s="56" t="s">
        <v>303</v>
      </c>
      <c r="C3" s="130" t="s">
        <v>309</v>
      </c>
      <c r="D3" s="131" t="s">
        <v>310</v>
      </c>
    </row>
    <row r="4" spans="2:28" x14ac:dyDescent="0.25">
      <c r="B4" s="57" t="s">
        <v>441</v>
      </c>
      <c r="C4" s="161">
        <f ca="1">H14</f>
        <v>3427177.6199208666</v>
      </c>
      <c r="D4" s="162">
        <f ca="1">AB14</f>
        <v>11153462.922286222</v>
      </c>
    </row>
    <row r="5" spans="2:28" x14ac:dyDescent="0.25">
      <c r="B5" s="57" t="s">
        <v>438</v>
      </c>
      <c r="C5" s="64">
        <f ca="1">H15</f>
        <v>67390.680066762099</v>
      </c>
      <c r="D5" s="126">
        <f ca="1">AB15</f>
        <v>172369.35966763683</v>
      </c>
    </row>
    <row r="6" spans="2:28" x14ac:dyDescent="0.25">
      <c r="B6" s="57" t="s">
        <v>439</v>
      </c>
      <c r="C6" s="64">
        <f ca="1">H16</f>
        <v>61230.208193549581</v>
      </c>
      <c r="D6" s="126">
        <f ca="1">AB16</f>
        <v>143566.70900761851</v>
      </c>
    </row>
    <row r="7" spans="2:28" x14ac:dyDescent="0.25">
      <c r="B7" s="57" t="s">
        <v>440</v>
      </c>
      <c r="C7" s="64">
        <f ca="1">H17</f>
        <v>42475.612120265796</v>
      </c>
      <c r="D7" s="126">
        <f ca="1">AB17</f>
        <v>300146.24566033052</v>
      </c>
    </row>
    <row r="8" spans="2:28" ht="15.75" thickBot="1" x14ac:dyDescent="0.3">
      <c r="B8" s="63" t="s">
        <v>8</v>
      </c>
      <c r="C8" s="127">
        <f ca="1">SUM(C4:C7)</f>
        <v>3598274.1203014436</v>
      </c>
      <c r="D8" s="128">
        <f ca="1">SUM(D4:D7)</f>
        <v>11769545.236621808</v>
      </c>
    </row>
    <row r="9" spans="2:28" ht="15.75" x14ac:dyDescent="0.25">
      <c r="B9" s="48"/>
    </row>
    <row r="10" spans="2:28" ht="15.75" x14ac:dyDescent="0.25">
      <c r="B10" s="48"/>
    </row>
    <row r="11" spans="2:28" ht="15.75" x14ac:dyDescent="0.25">
      <c r="B11" s="48"/>
    </row>
    <row r="12" spans="2:28" ht="16.5" thickBot="1" x14ac:dyDescent="0.3">
      <c r="B12" s="48" t="s">
        <v>458</v>
      </c>
    </row>
    <row r="13" spans="2:28" x14ac:dyDescent="0.25">
      <c r="B13" s="56"/>
      <c r="C13" s="61">
        <v>2025</v>
      </c>
      <c r="D13" s="61">
        <v>2026</v>
      </c>
      <c r="E13" s="61">
        <v>2027</v>
      </c>
      <c r="F13" s="61">
        <v>2028</v>
      </c>
      <c r="G13" s="61">
        <v>2029</v>
      </c>
      <c r="H13" s="61">
        <v>2030</v>
      </c>
      <c r="I13" s="61">
        <v>2031</v>
      </c>
      <c r="J13" s="61">
        <v>2032</v>
      </c>
      <c r="K13" s="61">
        <v>2033</v>
      </c>
      <c r="L13" s="61">
        <v>2034</v>
      </c>
      <c r="M13" s="61">
        <v>2035</v>
      </c>
      <c r="N13" s="61">
        <v>2036</v>
      </c>
      <c r="O13" s="61">
        <v>2037</v>
      </c>
      <c r="P13" s="61">
        <v>2038</v>
      </c>
      <c r="Q13" s="61">
        <v>2039</v>
      </c>
      <c r="R13" s="61">
        <v>2040</v>
      </c>
      <c r="S13" s="61">
        <v>2041</v>
      </c>
      <c r="T13" s="61">
        <v>2042</v>
      </c>
      <c r="U13" s="61">
        <v>2043</v>
      </c>
      <c r="V13" s="61">
        <v>2044</v>
      </c>
      <c r="W13" s="61">
        <v>2045</v>
      </c>
      <c r="X13" s="61">
        <v>2046</v>
      </c>
      <c r="Y13" s="61">
        <v>2047</v>
      </c>
      <c r="Z13" s="61">
        <v>2048</v>
      </c>
      <c r="AA13" s="61">
        <v>2049</v>
      </c>
      <c r="AB13" s="62">
        <v>2050</v>
      </c>
    </row>
    <row r="14" spans="2:28" x14ac:dyDescent="0.25">
      <c r="B14" s="57" t="s">
        <v>454</v>
      </c>
      <c r="C14" s="158">
        <f ca="1">'Measure M1 - ZE Chargers'!D54</f>
        <v>0</v>
      </c>
      <c r="D14" s="158">
        <f ca="1">'Measure M1 - ZE Chargers'!E54</f>
        <v>137019.89301778786</v>
      </c>
      <c r="E14" s="158">
        <f ca="1">'Measure M1 - ZE Chargers'!F54</f>
        <v>686401.7340148011</v>
      </c>
      <c r="F14" s="158">
        <f ca="1">'Measure M1 - ZE Chargers'!G54</f>
        <v>1563727.2572574713</v>
      </c>
      <c r="G14" s="158">
        <f ca="1">'Measure M1 - ZE Chargers'!H54</f>
        <v>2443081.5837886832</v>
      </c>
      <c r="H14" s="158">
        <f ca="1">'Measure M1 - ZE Chargers'!I54</f>
        <v>3427177.6199208666</v>
      </c>
      <c r="I14" s="158">
        <f ca="1">'Measure M1 - ZE Chargers'!J54</f>
        <v>4411273.6560530514</v>
      </c>
      <c r="J14" s="158">
        <f ca="1">'Measure M1 - ZE Chargers'!K54</f>
        <v>5395369.6921852352</v>
      </c>
      <c r="K14" s="158">
        <f ca="1">'Measure M1 - ZE Chargers'!L54</f>
        <v>6379465.7283174191</v>
      </c>
      <c r="L14" s="158">
        <f ca="1">'Measure M1 - ZE Chargers'!M54</f>
        <v>7363561.7644496039</v>
      </c>
      <c r="M14" s="158">
        <f ca="1">'Measure M1 - ZE Chargers'!N54</f>
        <v>8347657.8005817868</v>
      </c>
      <c r="N14" s="158">
        <f ca="1">'Measure M1 - ZE Chargers'!O54</f>
        <v>9194733.9436961822</v>
      </c>
      <c r="O14" s="158">
        <f ca="1">'Measure M1 - ZE Chargers'!P54</f>
        <v>9629448.1388313528</v>
      </c>
      <c r="P14" s="158">
        <f ca="1">'Measure M1 - ZE Chargers'!Q54</f>
        <v>9736218.6517208647</v>
      </c>
      <c r="Q14" s="158">
        <f ca="1">'Measure M1 - ZE Chargers'!R54</f>
        <v>9840960.3613218386</v>
      </c>
      <c r="R14" s="158">
        <f ca="1">'Measure M1 - ZE Chargers'!S54</f>
        <v>9840960.3613218386</v>
      </c>
      <c r="S14" s="158">
        <f ca="1">'Measure M1 - ZE Chargers'!T54</f>
        <v>9840960.3613218386</v>
      </c>
      <c r="T14" s="158">
        <f ca="1">'Measure M1 - ZE Chargers'!U54</f>
        <v>9840960.3613218386</v>
      </c>
      <c r="U14" s="158">
        <f ca="1">'Measure M1 - ZE Chargers'!V54</f>
        <v>9840960.3613218386</v>
      </c>
      <c r="V14" s="158">
        <f ca="1">'Measure M1 - ZE Chargers'!W54</f>
        <v>9840960.3613218386</v>
      </c>
      <c r="W14" s="158">
        <f ca="1">'Measure M1 - ZE Chargers'!X54</f>
        <v>10059710.788149236</v>
      </c>
      <c r="X14" s="158">
        <f ca="1">'Measure M1 - ZE Chargers'!Y54</f>
        <v>10278461.214976633</v>
      </c>
      <c r="Y14" s="158">
        <f ca="1">'Measure M1 - ZE Chargers'!Z54</f>
        <v>10497211.64180403</v>
      </c>
      <c r="Z14" s="158">
        <f ca="1">'Measure M1 - ZE Chargers'!AA54</f>
        <v>10715962.068631427</v>
      </c>
      <c r="AA14" s="158">
        <f ca="1">'Measure M1 - ZE Chargers'!AB54</f>
        <v>10934712.495458825</v>
      </c>
      <c r="AB14" s="163">
        <f ca="1">'Measure M1 - ZE Chargers'!AC54</f>
        <v>11153462.922286222</v>
      </c>
    </row>
    <row r="15" spans="2:28" x14ac:dyDescent="0.25">
      <c r="B15" s="57" t="s">
        <v>455</v>
      </c>
      <c r="C15" s="64">
        <f ca="1">'Measure M2 - ZE Trucks'!C142</f>
        <v>0</v>
      </c>
      <c r="D15" s="64">
        <f ca="1">'Measure M2 - ZE Trucks'!D142</f>
        <v>6955.3190723086018</v>
      </c>
      <c r="E15" s="64">
        <f ca="1">'Measure M2 - ZE Trucks'!E142</f>
        <v>21942.512178811328</v>
      </c>
      <c r="F15" s="64">
        <f ca="1">'Measure M2 - ZE Trucks'!F142</f>
        <v>36807.508486785104</v>
      </c>
      <c r="G15" s="64">
        <f ca="1">'Measure M2 - ZE Trucks'!G142</f>
        <v>51576.634333899208</v>
      </c>
      <c r="H15" s="64">
        <f ca="1">'Measure M2 - ZE Trucks'!H142</f>
        <v>67390.680066762099</v>
      </c>
      <c r="I15" s="64">
        <f ca="1">'Measure M2 - ZE Trucks'!I142</f>
        <v>83204.725799624997</v>
      </c>
      <c r="J15" s="64">
        <f ca="1">'Measure M2 - ZE Trucks'!J142</f>
        <v>99018.771532487881</v>
      </c>
      <c r="K15" s="64">
        <f ca="1">'Measure M2 - ZE Trucks'!K142</f>
        <v>114832.81726535078</v>
      </c>
      <c r="L15" s="64">
        <f ca="1">'Measure M2 - ZE Trucks'!L142</f>
        <v>130646.86299821366</v>
      </c>
      <c r="M15" s="64">
        <f ca="1">'Measure M2 - ZE Trucks'!M142</f>
        <v>146460.90873107658</v>
      </c>
      <c r="N15" s="64">
        <f ca="1">'Measure M2 - ZE Trucks'!N142</f>
        <v>155319.63539163084</v>
      </c>
      <c r="O15" s="64">
        <f ca="1">'Measure M2 - ZE Trucks'!O142</f>
        <v>156146.48801799101</v>
      </c>
      <c r="P15" s="64">
        <f ca="1">'Measure M2 - ZE Trucks'!P142</f>
        <v>157095.53744288016</v>
      </c>
      <c r="Q15" s="64">
        <f ca="1">'Measure M2 - ZE Trucks'!Q142</f>
        <v>158140.45732862892</v>
      </c>
      <c r="R15" s="64">
        <f ca="1">'Measure M2 - ZE Trucks'!R142</f>
        <v>158140.45732862892</v>
      </c>
      <c r="S15" s="64">
        <f ca="1">'Measure M2 - ZE Trucks'!S142</f>
        <v>158140.45732862892</v>
      </c>
      <c r="T15" s="64">
        <f ca="1">'Measure M2 - ZE Trucks'!T142</f>
        <v>158140.45732862892</v>
      </c>
      <c r="U15" s="64">
        <f ca="1">'Measure M2 - ZE Trucks'!U142</f>
        <v>158140.45732862892</v>
      </c>
      <c r="V15" s="64">
        <f ca="1">'Measure M2 - ZE Trucks'!V142</f>
        <v>158140.45732862892</v>
      </c>
      <c r="W15" s="64">
        <f ca="1">'Measure M2 - ZE Trucks'!W142</f>
        <v>160511.94105179689</v>
      </c>
      <c r="X15" s="64">
        <f ca="1">'Measure M2 - ZE Trucks'!X142</f>
        <v>162883.42477496489</v>
      </c>
      <c r="Y15" s="64">
        <f ca="1">'Measure M2 - ZE Trucks'!Y142</f>
        <v>165254.90849813286</v>
      </c>
      <c r="Z15" s="64">
        <f ca="1">'Measure M2 - ZE Trucks'!Z142</f>
        <v>167626.39222130086</v>
      </c>
      <c r="AA15" s="64">
        <f ca="1">'Measure M2 - ZE Trucks'!AA142</f>
        <v>169997.87594446883</v>
      </c>
      <c r="AB15" s="126">
        <f ca="1">'Measure M2 - ZE Trucks'!AB142</f>
        <v>172369.35966763683</v>
      </c>
    </row>
    <row r="16" spans="2:28" x14ac:dyDescent="0.25">
      <c r="B16" s="57" t="s">
        <v>456</v>
      </c>
      <c r="C16" s="64">
        <f ca="1">'Measure M3 - ZE CHE'!C110</f>
        <v>0</v>
      </c>
      <c r="D16" s="64">
        <f ca="1">'Measure M3 - ZE CHE'!D110</f>
        <v>7178.9015026970219</v>
      </c>
      <c r="E16" s="64">
        <f ca="1">'Measure M3 - ZE CHE'!E110</f>
        <v>20587.56557279166</v>
      </c>
      <c r="F16" s="64">
        <f ca="1">'Measure M3 - ZE CHE'!F110</f>
        <v>33996.229642886305</v>
      </c>
      <c r="G16" s="64">
        <f ca="1">'Measure M3 - ZE CHE'!G110</f>
        <v>47404.893712980949</v>
      </c>
      <c r="H16" s="64">
        <f ca="1">'Measure M3 - ZE CHE'!H110</f>
        <v>61230.208193549581</v>
      </c>
      <c r="I16" s="64">
        <f ca="1">'Measure M3 - ZE CHE'!I110</f>
        <v>75055.522674118227</v>
      </c>
      <c r="J16" s="64">
        <f ca="1">'Measure M3 - ZE CHE'!J110</f>
        <v>88880.837154686844</v>
      </c>
      <c r="K16" s="64">
        <f ca="1">'Measure M3 - ZE CHE'!K110</f>
        <v>102706.15163525548</v>
      </c>
      <c r="L16" s="64">
        <f ca="1">'Measure M3 - ZE CHE'!L110</f>
        <v>116531.46611582411</v>
      </c>
      <c r="M16" s="64">
        <f ca="1">'Measure M3 - ZE CHE'!M110</f>
        <v>130356.78059639275</v>
      </c>
      <c r="N16" s="64">
        <f ca="1">'Measure M3 - ZE CHE'!N110</f>
        <v>137003.19357426435</v>
      </c>
      <c r="O16" s="64">
        <f ca="1">'Measure M3 - ZE CHE'!O110</f>
        <v>137419.84398473834</v>
      </c>
      <c r="P16" s="64">
        <f ca="1">'Measure M3 - ZE CHE'!P110</f>
        <v>137836.49439521233</v>
      </c>
      <c r="Q16" s="64">
        <f ca="1">'Measure M3 - ZE CHE'!Q110</f>
        <v>138253.14480568632</v>
      </c>
      <c r="R16" s="64">
        <f ca="1">'Measure M3 - ZE CHE'!R110</f>
        <v>138253.14480568632</v>
      </c>
      <c r="S16" s="64">
        <f ca="1">'Measure M3 - ZE CHE'!S110</f>
        <v>138253.14480568632</v>
      </c>
      <c r="T16" s="64">
        <f ca="1">'Measure M3 - ZE CHE'!T110</f>
        <v>138253.14480568632</v>
      </c>
      <c r="U16" s="64">
        <f ca="1">'Measure M3 - ZE CHE'!U110</f>
        <v>138253.14480568632</v>
      </c>
      <c r="V16" s="64">
        <f ca="1">'Measure M3 - ZE CHE'!V110</f>
        <v>138253.14480568632</v>
      </c>
      <c r="W16" s="64">
        <f ca="1">'Measure M3 - ZE CHE'!W110</f>
        <v>139138.73883934168</v>
      </c>
      <c r="X16" s="64">
        <f ca="1">'Measure M3 - ZE CHE'!X110</f>
        <v>140024.33287299704</v>
      </c>
      <c r="Y16" s="64">
        <f ca="1">'Measure M3 - ZE CHE'!Y110</f>
        <v>140909.9269066524</v>
      </c>
      <c r="Z16" s="64">
        <f ca="1">'Measure M3 - ZE CHE'!Z110</f>
        <v>141795.52094030776</v>
      </c>
      <c r="AA16" s="64">
        <f ca="1">'Measure M3 - ZE CHE'!AA110</f>
        <v>142681.11497396315</v>
      </c>
      <c r="AB16" s="126">
        <f ca="1">'Measure M3 - ZE CHE'!AB110</f>
        <v>143566.70900761851</v>
      </c>
    </row>
    <row r="17" spans="2:28" x14ac:dyDescent="0.25">
      <c r="B17" s="57" t="s">
        <v>457</v>
      </c>
      <c r="C17" s="64">
        <f ca="1">'Measure M4 - ZE Switchers'!C101</f>
        <v>0</v>
      </c>
      <c r="D17" s="64">
        <f ca="1">'Measure M4 - ZE Switchers'!D101</f>
        <v>0</v>
      </c>
      <c r="E17" s="64">
        <f ca="1">'Measure M4 - ZE Switchers'!E101</f>
        <v>2834.5157458813619</v>
      </c>
      <c r="F17" s="64">
        <f ca="1">'Measure M4 - ZE Switchers'!F101</f>
        <v>15589.836602347488</v>
      </c>
      <c r="G17" s="64">
        <f ca="1">'Measure M4 - ZE Switchers'!G101</f>
        <v>28345.157458813614</v>
      </c>
      <c r="H17" s="64">
        <f ca="1">'Measure M4 - ZE Switchers'!H101</f>
        <v>42475.612120265796</v>
      </c>
      <c r="I17" s="64">
        <f ca="1">'Measure M4 - ZE Switchers'!I101</f>
        <v>56606.066781717978</v>
      </c>
      <c r="J17" s="64">
        <f ca="1">'Measure M4 - ZE Switchers'!J101</f>
        <v>70736.521443170161</v>
      </c>
      <c r="K17" s="64">
        <f ca="1">'Measure M4 - ZE Switchers'!K101</f>
        <v>84866.976104622328</v>
      </c>
      <c r="L17" s="64">
        <f ca="1">'Measure M4 - ZE Switchers'!L101</f>
        <v>98997.430766074525</v>
      </c>
      <c r="M17" s="64">
        <f ca="1">'Measure M4 - ZE Switchers'!M101</f>
        <v>113127.88542752672</v>
      </c>
      <c r="N17" s="64">
        <f ca="1">'Measure M4 - ZE Switchers'!N101</f>
        <v>127258.34008897892</v>
      </c>
      <c r="O17" s="64">
        <f ca="1">'Measure M4 - ZE Switchers'!O101</f>
        <v>141388.79475043109</v>
      </c>
      <c r="P17" s="64">
        <f ca="1">'Measure M4 - ZE Switchers'!P101</f>
        <v>155519.24941188327</v>
      </c>
      <c r="Q17" s="64">
        <f ca="1">'Measure M4 - ZE Switchers'!Q101</f>
        <v>169649.70407333545</v>
      </c>
      <c r="R17" s="64">
        <f ca="1">'Measure M4 - ZE Switchers'!R101</f>
        <v>183780.1587347876</v>
      </c>
      <c r="S17" s="64">
        <f ca="1">'Measure M4 - ZE Switchers'!S101</f>
        <v>197910.61339623982</v>
      </c>
      <c r="T17" s="64">
        <f ca="1">'Measure M4 - ZE Switchers'!T101</f>
        <v>212041.068057692</v>
      </c>
      <c r="U17" s="64">
        <f ca="1">'Measure M4 - ZE Switchers'!U101</f>
        <v>226171.52271914415</v>
      </c>
      <c r="V17" s="64">
        <f ca="1">'Measure M4 - ZE Switchers'!V101</f>
        <v>240301.97738059639</v>
      </c>
      <c r="W17" s="64">
        <f ca="1">'Measure M4 - ZE Switchers'!W101</f>
        <v>257355.29078059638</v>
      </c>
      <c r="X17" s="64">
        <f ca="1">'Measure M4 - ZE Switchers'!X101</f>
        <v>274408.60418059636</v>
      </c>
      <c r="Y17" s="64">
        <f ca="1">'Measure M4 - ZE Switchers'!Y101</f>
        <v>288627.40183471498</v>
      </c>
      <c r="Z17" s="64">
        <f ca="1">'Measure M4 - ZE Switchers'!Z101</f>
        <v>292925.39437824883</v>
      </c>
      <c r="AA17" s="64">
        <f ca="1">'Measure M4 - ZE Switchers'!AA101</f>
        <v>297223.38692178275</v>
      </c>
      <c r="AB17" s="126">
        <f ca="1">'Measure M4 - ZE Switchers'!AB101</f>
        <v>300146.24566033052</v>
      </c>
    </row>
    <row r="18" spans="2:28" ht="15.75" thickBot="1" x14ac:dyDescent="0.3">
      <c r="B18" s="63" t="s">
        <v>8</v>
      </c>
      <c r="C18" s="127">
        <f ca="1">SUM(C15:C17)</f>
        <v>0</v>
      </c>
      <c r="D18" s="127">
        <f ca="1">SUM(D14:D17)</f>
        <v>151154.1135927935</v>
      </c>
      <c r="E18" s="127">
        <f t="shared" ref="E18:AB18" ca="1" si="0">SUM(E14:E17)</f>
        <v>731766.32751228544</v>
      </c>
      <c r="F18" s="127">
        <f t="shared" ca="1" si="0"/>
        <v>1650120.83198949</v>
      </c>
      <c r="G18" s="127">
        <f t="shared" ca="1" si="0"/>
        <v>2570408.269294377</v>
      </c>
      <c r="H18" s="127">
        <f t="shared" ca="1" si="0"/>
        <v>3598274.1203014436</v>
      </c>
      <c r="I18" s="127">
        <f t="shared" ca="1" si="0"/>
        <v>4626139.9713085126</v>
      </c>
      <c r="J18" s="127">
        <f t="shared" ca="1" si="0"/>
        <v>5654005.8223155802</v>
      </c>
      <c r="K18" s="127">
        <f t="shared" ca="1" si="0"/>
        <v>6681871.6733226478</v>
      </c>
      <c r="L18" s="127">
        <f t="shared" ca="1" si="0"/>
        <v>7709737.5243297163</v>
      </c>
      <c r="M18" s="127">
        <f t="shared" ca="1" si="0"/>
        <v>8737603.375336783</v>
      </c>
      <c r="N18" s="127">
        <f t="shared" ca="1" si="0"/>
        <v>9614315.1127510555</v>
      </c>
      <c r="O18" s="127">
        <f t="shared" ca="1" si="0"/>
        <v>10064403.265584514</v>
      </c>
      <c r="P18" s="127">
        <f t="shared" ca="1" si="0"/>
        <v>10186669.93297084</v>
      </c>
      <c r="Q18" s="127">
        <f t="shared" ca="1" si="0"/>
        <v>10307003.66752949</v>
      </c>
      <c r="R18" s="127">
        <f t="shared" ca="1" si="0"/>
        <v>10321134.122190941</v>
      </c>
      <c r="S18" s="127">
        <f t="shared" ca="1" si="0"/>
        <v>10335264.576852394</v>
      </c>
      <c r="T18" s="127">
        <f t="shared" ca="1" si="0"/>
        <v>10349395.031513846</v>
      </c>
      <c r="U18" s="127">
        <f t="shared" ca="1" si="0"/>
        <v>10363525.486175299</v>
      </c>
      <c r="V18" s="127">
        <f t="shared" ca="1" si="0"/>
        <v>10377655.94083675</v>
      </c>
      <c r="W18" s="127">
        <f t="shared" ca="1" si="0"/>
        <v>10616716.75882097</v>
      </c>
      <c r="X18" s="127">
        <f t="shared" ca="1" si="0"/>
        <v>10855777.576805193</v>
      </c>
      <c r="Y18" s="127">
        <f t="shared" ca="1" si="0"/>
        <v>11092003.879043531</v>
      </c>
      <c r="Z18" s="127">
        <f t="shared" ca="1" si="0"/>
        <v>11318309.376171283</v>
      </c>
      <c r="AA18" s="127">
        <f t="shared" ca="1" si="0"/>
        <v>11544614.873299038</v>
      </c>
      <c r="AB18" s="128">
        <f t="shared" ca="1" si="0"/>
        <v>11769545.236621808</v>
      </c>
    </row>
    <row r="22" spans="2:28" ht="16.5" thickBot="1" x14ac:dyDescent="0.3">
      <c r="B22" s="48" t="s">
        <v>459</v>
      </c>
    </row>
    <row r="23" spans="2:28" x14ac:dyDescent="0.25">
      <c r="B23" s="56"/>
      <c r="C23" s="61">
        <v>2025</v>
      </c>
      <c r="D23" s="61">
        <v>2026</v>
      </c>
      <c r="E23" s="61">
        <v>2027</v>
      </c>
      <c r="F23" s="61">
        <v>2028</v>
      </c>
      <c r="G23" s="61">
        <v>2029</v>
      </c>
      <c r="H23" s="61">
        <v>2030</v>
      </c>
      <c r="I23" s="61">
        <v>2031</v>
      </c>
      <c r="J23" s="61">
        <v>2032</v>
      </c>
      <c r="K23" s="61">
        <v>2033</v>
      </c>
      <c r="L23" s="61">
        <v>2034</v>
      </c>
      <c r="M23" s="61">
        <v>2035</v>
      </c>
      <c r="N23" s="61">
        <v>2036</v>
      </c>
      <c r="O23" s="61">
        <v>2037</v>
      </c>
      <c r="P23" s="61">
        <v>2038</v>
      </c>
      <c r="Q23" s="61">
        <v>2039</v>
      </c>
      <c r="R23" s="61">
        <v>2040</v>
      </c>
      <c r="S23" s="61">
        <v>2041</v>
      </c>
      <c r="T23" s="61">
        <v>2042</v>
      </c>
      <c r="U23" s="61">
        <v>2043</v>
      </c>
      <c r="V23" s="61">
        <v>2044</v>
      </c>
      <c r="W23" s="61">
        <v>2045</v>
      </c>
      <c r="X23" s="61">
        <v>2046</v>
      </c>
      <c r="Y23" s="61">
        <v>2047</v>
      </c>
      <c r="Z23" s="61">
        <v>2048</v>
      </c>
      <c r="AA23" s="61">
        <v>2049</v>
      </c>
      <c r="AB23" s="62">
        <v>2050</v>
      </c>
    </row>
    <row r="24" spans="2:28" x14ac:dyDescent="0.25">
      <c r="B24" s="57" t="s">
        <v>454</v>
      </c>
      <c r="C24" s="158">
        <f>'Measure M1 - ZE Chargers'!D53</f>
        <v>0</v>
      </c>
      <c r="D24" s="158">
        <f>'Measure M1 - ZE Chargers'!E53</f>
        <v>137019.89301778786</v>
      </c>
      <c r="E24" s="158">
        <f>'Measure M1 - ZE Chargers'!F53</f>
        <v>549381.84099701326</v>
      </c>
      <c r="F24" s="158">
        <f>'Measure M1 - ZE Chargers'!G53</f>
        <v>877325.52324267046</v>
      </c>
      <c r="G24" s="158">
        <f>'Measure M1 - ZE Chargers'!H53</f>
        <v>879354.32653121173</v>
      </c>
      <c r="H24" s="158">
        <f>'Measure M1 - ZE Chargers'!I53</f>
        <v>984096.03613218374</v>
      </c>
      <c r="I24" s="158">
        <f>'Measure M1 - ZE Chargers'!J53</f>
        <v>984096.03613218374</v>
      </c>
      <c r="J24" s="158">
        <f>'Measure M1 - ZE Chargers'!K53</f>
        <v>984096.03613218374</v>
      </c>
      <c r="K24" s="158">
        <f>'Measure M1 - ZE Chargers'!L53</f>
        <v>984096.03613218374</v>
      </c>
      <c r="L24" s="158">
        <f>'Measure M1 - ZE Chargers'!M53</f>
        <v>984096.03613218374</v>
      </c>
      <c r="M24" s="158">
        <f>'Measure M1 - ZE Chargers'!N53</f>
        <v>984096.03613218374</v>
      </c>
      <c r="N24" s="158">
        <f>'Measure M1 - ZE Chargers'!O53</f>
        <v>984096.03613218374</v>
      </c>
      <c r="O24" s="158">
        <f>'Measure M1 - ZE Chargers'!P53</f>
        <v>984096.03613218374</v>
      </c>
      <c r="P24" s="158">
        <f>'Measure M1 - ZE Chargers'!Q53</f>
        <v>984096.03613218374</v>
      </c>
      <c r="Q24" s="158">
        <f>'Measure M1 - ZE Chargers'!R53</f>
        <v>984096.03613218374</v>
      </c>
      <c r="R24" s="158">
        <f>'Measure M1 - ZE Chargers'!S53</f>
        <v>984096.03613218374</v>
      </c>
      <c r="S24" s="158">
        <f>'Measure M1 - ZE Chargers'!T53</f>
        <v>984096.03613218374</v>
      </c>
      <c r="T24" s="158">
        <f>'Measure M1 - ZE Chargers'!U53</f>
        <v>984096.03613218374</v>
      </c>
      <c r="U24" s="158">
        <f>'Measure M1 - ZE Chargers'!V53</f>
        <v>984096.03613218374</v>
      </c>
      <c r="V24" s="158">
        <f>'Measure M1 - ZE Chargers'!W53</f>
        <v>984096.03613218374</v>
      </c>
      <c r="W24" s="158">
        <f>'Measure M1 - ZE Chargers'!X53</f>
        <v>1202846.4629595811</v>
      </c>
      <c r="X24" s="158">
        <f>'Measure M1 - ZE Chargers'!Y53</f>
        <v>1202846.4629595811</v>
      </c>
      <c r="Y24" s="158">
        <f>'Measure M1 - ZE Chargers'!Z53</f>
        <v>1202846.4629595811</v>
      </c>
      <c r="Z24" s="158">
        <f>'Measure M1 - ZE Chargers'!AA53</f>
        <v>1202846.4629595811</v>
      </c>
      <c r="AA24" s="158">
        <f>'Measure M1 - ZE Chargers'!AB53</f>
        <v>1202846.4629595811</v>
      </c>
      <c r="AB24" s="163">
        <f>'Measure M1 - ZE Chargers'!AC53</f>
        <v>1202846.4629595811</v>
      </c>
    </row>
    <row r="25" spans="2:28" x14ac:dyDescent="0.25">
      <c r="B25" s="57" t="s">
        <v>455</v>
      </c>
      <c r="C25" s="64">
        <f>'Measure M2 - ZE Trucks'!C141</f>
        <v>0</v>
      </c>
      <c r="D25" s="64">
        <f>'Measure M2 - ZE Trucks'!D141</f>
        <v>6955.3190723086018</v>
      </c>
      <c r="E25" s="64">
        <f>'Measure M2 - ZE Trucks'!E141</f>
        <v>14987.193106502726</v>
      </c>
      <c r="F25" s="64">
        <f>'Measure M2 - ZE Trucks'!F141</f>
        <v>14864.99630797377</v>
      </c>
      <c r="G25" s="64">
        <f>'Measure M2 - ZE Trucks'!G141</f>
        <v>14769.125847114114</v>
      </c>
      <c r="H25" s="64">
        <f>'Measure M2 - ZE Trucks'!H141</f>
        <v>15814.045732862893</v>
      </c>
      <c r="I25" s="64">
        <f>'Measure M2 - ZE Trucks'!I141</f>
        <v>15814.045732862893</v>
      </c>
      <c r="J25" s="64">
        <f>'Measure M2 - ZE Trucks'!J141</f>
        <v>15814.045732862893</v>
      </c>
      <c r="K25" s="64">
        <f>'Measure M2 - ZE Trucks'!K141</f>
        <v>15814.045732862893</v>
      </c>
      <c r="L25" s="64">
        <f>'Measure M2 - ZE Trucks'!L141</f>
        <v>15814.045732862893</v>
      </c>
      <c r="M25" s="64">
        <f>'Measure M2 - ZE Trucks'!M141</f>
        <v>15814.045732862893</v>
      </c>
      <c r="N25" s="64">
        <f>'Measure M2 - ZE Trucks'!N141</f>
        <v>15814.045732862893</v>
      </c>
      <c r="O25" s="64">
        <f>'Measure M2 - ZE Trucks'!O141</f>
        <v>15814.045732862893</v>
      </c>
      <c r="P25" s="64">
        <f>'Measure M2 - ZE Trucks'!P141</f>
        <v>15814.045732862893</v>
      </c>
      <c r="Q25" s="64">
        <f>'Measure M2 - ZE Trucks'!Q141</f>
        <v>15814.045732862893</v>
      </c>
      <c r="R25" s="64">
        <f>'Measure M2 - ZE Trucks'!R141</f>
        <v>15814.045732862893</v>
      </c>
      <c r="S25" s="64">
        <f>'Measure M2 - ZE Trucks'!S141</f>
        <v>15814.045732862893</v>
      </c>
      <c r="T25" s="64">
        <f>'Measure M2 - ZE Trucks'!T141</f>
        <v>15814.045732862893</v>
      </c>
      <c r="U25" s="64">
        <f>'Measure M2 - ZE Trucks'!U141</f>
        <v>15814.045732862893</v>
      </c>
      <c r="V25" s="64">
        <f>'Measure M2 - ZE Trucks'!V141</f>
        <v>15814.045732862893</v>
      </c>
      <c r="W25" s="64">
        <f>'Measure M2 - ZE Trucks'!W141</f>
        <v>18185.529456030879</v>
      </c>
      <c r="X25" s="64">
        <f>'Measure M2 - ZE Trucks'!X141</f>
        <v>18185.529456030879</v>
      </c>
      <c r="Y25" s="64">
        <f>'Measure M2 - ZE Trucks'!Y141</f>
        <v>18185.529456030879</v>
      </c>
      <c r="Z25" s="64">
        <f>'Measure M2 - ZE Trucks'!Z141</f>
        <v>18185.529456030879</v>
      </c>
      <c r="AA25" s="64">
        <f>'Measure M2 - ZE Trucks'!AA141</f>
        <v>18185.529456030879</v>
      </c>
      <c r="AB25" s="126">
        <f>'Measure M2 - ZE Trucks'!AB141</f>
        <v>18185.529456030879</v>
      </c>
    </row>
    <row r="26" spans="2:28" x14ac:dyDescent="0.25">
      <c r="B26" s="57" t="s">
        <v>456</v>
      </c>
      <c r="C26" s="64">
        <f>'Measure M3 - ZE CHE'!C109</f>
        <v>0</v>
      </c>
      <c r="D26" s="64">
        <f>'Measure M3 - ZE CHE'!D109</f>
        <v>7178.9015026970219</v>
      </c>
      <c r="E26" s="64">
        <f>'Measure M3 - ZE CHE'!E109</f>
        <v>13408.664070094641</v>
      </c>
      <c r="F26" s="64">
        <f>'Measure M3 - ZE CHE'!F109</f>
        <v>13408.664070094641</v>
      </c>
      <c r="G26" s="64">
        <f>'Measure M3 - ZE CHE'!G109</f>
        <v>13408.664070094641</v>
      </c>
      <c r="H26" s="64">
        <f>'Measure M3 - ZE CHE'!H109</f>
        <v>13825.314480568635</v>
      </c>
      <c r="I26" s="64">
        <f>'Measure M3 - ZE CHE'!I109</f>
        <v>13825.314480568635</v>
      </c>
      <c r="J26" s="64">
        <f>'Measure M3 - ZE CHE'!J109</f>
        <v>13825.314480568635</v>
      </c>
      <c r="K26" s="64">
        <f>'Measure M3 - ZE CHE'!K109</f>
        <v>13825.314480568635</v>
      </c>
      <c r="L26" s="64">
        <f>'Measure M3 - ZE CHE'!L109</f>
        <v>13825.314480568635</v>
      </c>
      <c r="M26" s="64">
        <f>'Measure M3 - ZE CHE'!M109</f>
        <v>13825.314480568635</v>
      </c>
      <c r="N26" s="64">
        <f>'Measure M3 - ZE CHE'!N109</f>
        <v>13825.314480568635</v>
      </c>
      <c r="O26" s="64">
        <f>'Measure M3 - ZE CHE'!O109</f>
        <v>13825.314480568635</v>
      </c>
      <c r="P26" s="64">
        <f>'Measure M3 - ZE CHE'!P109</f>
        <v>13825.314480568635</v>
      </c>
      <c r="Q26" s="64">
        <f>'Measure M3 - ZE CHE'!Q109</f>
        <v>13825.314480568635</v>
      </c>
      <c r="R26" s="64">
        <f>'Measure M3 - ZE CHE'!R109</f>
        <v>13825.314480568635</v>
      </c>
      <c r="S26" s="64">
        <f>'Measure M3 - ZE CHE'!S109</f>
        <v>13825.314480568635</v>
      </c>
      <c r="T26" s="64">
        <f>'Measure M3 - ZE CHE'!T109</f>
        <v>13825.314480568635</v>
      </c>
      <c r="U26" s="64">
        <f>'Measure M3 - ZE CHE'!U109</f>
        <v>13825.314480568635</v>
      </c>
      <c r="V26" s="64">
        <f>'Measure M3 - ZE CHE'!V109</f>
        <v>13825.314480568635</v>
      </c>
      <c r="W26" s="64">
        <f>'Measure M3 - ZE CHE'!W109</f>
        <v>14710.908514223998</v>
      </c>
      <c r="X26" s="64">
        <f>'Measure M3 - ZE CHE'!X109</f>
        <v>14710.908514223998</v>
      </c>
      <c r="Y26" s="64">
        <f>'Measure M3 - ZE CHE'!Y109</f>
        <v>14710.908514223998</v>
      </c>
      <c r="Z26" s="64">
        <f>'Measure M3 - ZE CHE'!Z109</f>
        <v>14710.908514223998</v>
      </c>
      <c r="AA26" s="64">
        <f>'Measure M3 - ZE CHE'!AA109</f>
        <v>14710.908514223998</v>
      </c>
      <c r="AB26" s="126">
        <f>'Measure M3 - ZE CHE'!AB109</f>
        <v>14710.908514223998</v>
      </c>
    </row>
    <row r="27" spans="2:28" x14ac:dyDescent="0.25">
      <c r="B27" s="57" t="s">
        <v>457</v>
      </c>
      <c r="C27" s="64">
        <f>'Measure M4 - ZE Switchers'!C100</f>
        <v>0</v>
      </c>
      <c r="D27" s="64">
        <f>'Measure M4 - ZE Switchers'!D100</f>
        <v>0</v>
      </c>
      <c r="E27" s="64">
        <f>'Measure M4 - ZE Switchers'!E100</f>
        <v>2834.5157458813619</v>
      </c>
      <c r="F27" s="64">
        <f>'Measure M4 - ZE Switchers'!F100</f>
        <v>12755.320856466125</v>
      </c>
      <c r="G27" s="64">
        <f>'Measure M4 - ZE Switchers'!G100</f>
        <v>12755.320856466125</v>
      </c>
      <c r="H27" s="64">
        <f>'Measure M4 - ZE Switchers'!H100</f>
        <v>14130.454661452179</v>
      </c>
      <c r="I27" s="64">
        <f>'Measure M4 - ZE Switchers'!I100</f>
        <v>14130.454661452179</v>
      </c>
      <c r="J27" s="64">
        <f>'Measure M4 - ZE Switchers'!J100</f>
        <v>14130.454661452179</v>
      </c>
      <c r="K27" s="64">
        <f>'Measure M4 - ZE Switchers'!K100</f>
        <v>14130.454661452179</v>
      </c>
      <c r="L27" s="64">
        <f>'Measure M4 - ZE Switchers'!L100</f>
        <v>14130.454661452179</v>
      </c>
      <c r="M27" s="64">
        <f>'Measure M4 - ZE Switchers'!M100</f>
        <v>14130.454661452179</v>
      </c>
      <c r="N27" s="64">
        <f>'Measure M4 - ZE Switchers'!N100</f>
        <v>14130.454661452179</v>
      </c>
      <c r="O27" s="64">
        <f>'Measure M4 - ZE Switchers'!O100</f>
        <v>14130.454661452179</v>
      </c>
      <c r="P27" s="64">
        <f>'Measure M4 - ZE Switchers'!P100</f>
        <v>14130.454661452179</v>
      </c>
      <c r="Q27" s="64">
        <f>'Measure M4 - ZE Switchers'!Q100</f>
        <v>14130.454661452179</v>
      </c>
      <c r="R27" s="64">
        <f>'Measure M4 - ZE Switchers'!R100</f>
        <v>14130.454661452179</v>
      </c>
      <c r="S27" s="64">
        <f>'Measure M4 - ZE Switchers'!S100</f>
        <v>14130.454661452179</v>
      </c>
      <c r="T27" s="64">
        <f>'Measure M4 - ZE Switchers'!T100</f>
        <v>14130.454661452179</v>
      </c>
      <c r="U27" s="64">
        <f>'Measure M4 - ZE Switchers'!U100</f>
        <v>14130.454661452179</v>
      </c>
      <c r="V27" s="64">
        <f>'Measure M4 - ZE Switchers'!V100</f>
        <v>14130.454661452179</v>
      </c>
      <c r="W27" s="64">
        <f>'Measure M4 - ZE Switchers'!W100</f>
        <v>17053.313399999999</v>
      </c>
      <c r="X27" s="64">
        <f>'Measure M4 - ZE Switchers'!X100</f>
        <v>17053.313399999999</v>
      </c>
      <c r="Y27" s="64">
        <f>'Measure M4 - ZE Switchers'!Y100</f>
        <v>17053.313399999999</v>
      </c>
      <c r="Z27" s="64">
        <f>'Measure M4 - ZE Switchers'!Z100</f>
        <v>17053.313399999999</v>
      </c>
      <c r="AA27" s="64">
        <f>'Measure M4 - ZE Switchers'!AA100</f>
        <v>17053.313399999999</v>
      </c>
      <c r="AB27" s="126">
        <f>'Measure M4 - ZE Switchers'!AB100</f>
        <v>17053.313399999999</v>
      </c>
    </row>
    <row r="28" spans="2:28" ht="15.75" thickBot="1" x14ac:dyDescent="0.3">
      <c r="B28" s="63" t="s">
        <v>8</v>
      </c>
      <c r="C28" s="127">
        <f>SUM(C25:C27)</f>
        <v>0</v>
      </c>
      <c r="D28" s="127">
        <f>SUM(D24:D27)</f>
        <v>151154.1135927935</v>
      </c>
      <c r="E28" s="127">
        <f t="shared" ref="E28:AB28" si="1">SUM(E24:E27)</f>
        <v>580612.21391949197</v>
      </c>
      <c r="F28" s="127">
        <f t="shared" si="1"/>
        <v>918354.50447720487</v>
      </c>
      <c r="G28" s="127">
        <f t="shared" si="1"/>
        <v>920287.43730488652</v>
      </c>
      <c r="H28" s="127">
        <f t="shared" si="1"/>
        <v>1027865.8510070675</v>
      </c>
      <c r="I28" s="127">
        <f t="shared" si="1"/>
        <v>1027865.8510070675</v>
      </c>
      <c r="J28" s="127">
        <f t="shared" si="1"/>
        <v>1027865.8510070675</v>
      </c>
      <c r="K28" s="127">
        <f t="shared" si="1"/>
        <v>1027865.8510070675</v>
      </c>
      <c r="L28" s="127">
        <f t="shared" si="1"/>
        <v>1027865.8510070675</v>
      </c>
      <c r="M28" s="127">
        <f t="shared" si="1"/>
        <v>1027865.8510070675</v>
      </c>
      <c r="N28" s="127">
        <f t="shared" si="1"/>
        <v>1027865.8510070675</v>
      </c>
      <c r="O28" s="127">
        <f t="shared" si="1"/>
        <v>1027865.8510070675</v>
      </c>
      <c r="P28" s="127">
        <f t="shared" si="1"/>
        <v>1027865.8510070675</v>
      </c>
      <c r="Q28" s="127">
        <f t="shared" si="1"/>
        <v>1027865.8510070675</v>
      </c>
      <c r="R28" s="127">
        <f t="shared" si="1"/>
        <v>1027865.8510070675</v>
      </c>
      <c r="S28" s="127">
        <f t="shared" si="1"/>
        <v>1027865.8510070675</v>
      </c>
      <c r="T28" s="127">
        <f t="shared" si="1"/>
        <v>1027865.8510070675</v>
      </c>
      <c r="U28" s="127">
        <f t="shared" si="1"/>
        <v>1027865.8510070675</v>
      </c>
      <c r="V28" s="127">
        <f t="shared" si="1"/>
        <v>1027865.8510070675</v>
      </c>
      <c r="W28" s="127">
        <f t="shared" si="1"/>
        <v>1252796.214329836</v>
      </c>
      <c r="X28" s="127">
        <f t="shared" si="1"/>
        <v>1252796.214329836</v>
      </c>
      <c r="Y28" s="127">
        <f t="shared" si="1"/>
        <v>1252796.214329836</v>
      </c>
      <c r="Z28" s="127">
        <f t="shared" si="1"/>
        <v>1252796.214329836</v>
      </c>
      <c r="AA28" s="127">
        <f t="shared" si="1"/>
        <v>1252796.214329836</v>
      </c>
      <c r="AB28" s="128">
        <f t="shared" si="1"/>
        <v>1252796.214329836</v>
      </c>
    </row>
    <row r="32" spans="2:28" ht="16.5" thickBot="1" x14ac:dyDescent="0.3">
      <c r="B32" s="48" t="s">
        <v>149</v>
      </c>
      <c r="C32" s="48"/>
      <c r="D32" s="48"/>
      <c r="E32" s="48"/>
      <c r="F32" s="48"/>
    </row>
    <row r="33" spans="2:6" ht="15.75" x14ac:dyDescent="0.25">
      <c r="B33" s="166"/>
      <c r="C33" s="164">
        <v>2030</v>
      </c>
      <c r="D33" s="164"/>
      <c r="E33" s="165"/>
      <c r="F33" s="48"/>
    </row>
    <row r="34" spans="2:6" ht="15.75" x14ac:dyDescent="0.25">
      <c r="B34" s="167"/>
      <c r="C34" s="78" t="s">
        <v>102</v>
      </c>
      <c r="D34" s="78" t="s">
        <v>103</v>
      </c>
      <c r="E34" s="79" t="s">
        <v>104</v>
      </c>
      <c r="F34" s="48"/>
    </row>
    <row r="35" spans="2:6" ht="15.75" x14ac:dyDescent="0.25">
      <c r="B35" s="57" t="s">
        <v>454</v>
      </c>
      <c r="C35" s="159">
        <f>'Measure M1 - ZE Chargers'!D60</f>
        <v>1289.4179588326501</v>
      </c>
      <c r="D35" s="159">
        <f>'Measure M1 - ZE Chargers'!D61</f>
        <v>17.79685238601132</v>
      </c>
      <c r="E35" s="160">
        <f>'Measure M1 - ZE Chargers'!D62</f>
        <v>18.553716034367476</v>
      </c>
      <c r="F35" s="48"/>
    </row>
    <row r="36" spans="2:6" ht="15.75" x14ac:dyDescent="0.25">
      <c r="B36" s="57" t="s">
        <v>455</v>
      </c>
      <c r="C36" s="65">
        <f>'Measure M2 - ZE Trucks'!C148</f>
        <v>16.735367722945572</v>
      </c>
      <c r="D36" s="65">
        <f>'Measure M2 - ZE Trucks'!C149</f>
        <v>0.17091255491925347</v>
      </c>
      <c r="E36" s="66">
        <f>'Measure M2 - ZE Trucks'!C150</f>
        <v>0.178640462239472</v>
      </c>
      <c r="F36" s="48"/>
    </row>
    <row r="37" spans="2:6" ht="15.75" x14ac:dyDescent="0.25">
      <c r="B37" s="57" t="s">
        <v>456</v>
      </c>
      <c r="C37" s="65">
        <f>'Measure M3 - ZE CHE'!C116</f>
        <v>24.078151526843538</v>
      </c>
      <c r="D37" s="65">
        <f>'Measure M3 - ZE CHE'!C117</f>
        <v>1.2200770143768596</v>
      </c>
      <c r="E37" s="66">
        <f>'Measure M3 - ZE CHE'!C118</f>
        <v>1.1224708532267109</v>
      </c>
      <c r="F37" s="48"/>
    </row>
    <row r="38" spans="2:6" ht="15.75" x14ac:dyDescent="0.25">
      <c r="B38" s="57" t="s">
        <v>457</v>
      </c>
      <c r="C38" s="67">
        <f>'Measure M4 - ZE Switchers'!C108</f>
        <v>285</v>
      </c>
      <c r="D38" s="65">
        <f>'Measure M4 - ZE Switchers'!C109</f>
        <v>9.156190476190476</v>
      </c>
      <c r="E38" s="66">
        <f>'Measure M4 - ZE Switchers'!C110</f>
        <v>9.9523809523809526</v>
      </c>
      <c r="F38" s="48"/>
    </row>
    <row r="39" spans="2:6" ht="16.5" thickBot="1" x14ac:dyDescent="0.3">
      <c r="B39" s="63" t="s">
        <v>8</v>
      </c>
      <c r="C39" s="68">
        <f>SUM(C35:C38)</f>
        <v>1615.2314780824393</v>
      </c>
      <c r="D39" s="68">
        <f t="shared" ref="D39:E39" si="2">SUM(D35:D38)</f>
        <v>28.344032431497908</v>
      </c>
      <c r="E39" s="129">
        <f t="shared" si="2"/>
        <v>29.807208302214612</v>
      </c>
      <c r="F39" s="48"/>
    </row>
    <row r="40" spans="2:6" ht="15.75" x14ac:dyDescent="0.25">
      <c r="B40" s="48"/>
      <c r="C40" s="48"/>
      <c r="D40" s="48"/>
      <c r="E40" s="48"/>
      <c r="F40" s="48"/>
    </row>
  </sheetData>
  <mergeCells count="2">
    <mergeCell ref="C33:E33"/>
    <mergeCell ref="B33:B34"/>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55"/>
  <sheetViews>
    <sheetView workbookViewId="0">
      <selection activeCell="O16" sqref="O16"/>
    </sheetView>
  </sheetViews>
  <sheetFormatPr defaultRowHeight="15" x14ac:dyDescent="0.25"/>
  <cols>
    <col min="1" max="1" width="22" customWidth="1"/>
    <col min="2" max="2" width="12.7109375" customWidth="1"/>
    <col min="3" max="3" width="58.7109375" customWidth="1"/>
    <col min="4" max="4" width="10.42578125" customWidth="1"/>
    <col min="5" max="5" width="14.7109375" customWidth="1"/>
    <col min="7" max="10" width="0" hidden="1" customWidth="1"/>
    <col min="11" max="17" width="12.7109375" customWidth="1"/>
    <col min="18" max="18" width="16.5703125" customWidth="1"/>
    <col min="19" max="20" width="0" hidden="1" customWidth="1"/>
  </cols>
  <sheetData>
    <row r="1" spans="1:22" x14ac:dyDescent="0.25">
      <c r="A1" t="s">
        <v>11</v>
      </c>
    </row>
    <row r="2" spans="1:22" x14ac:dyDescent="0.25">
      <c r="A2" t="s">
        <v>12</v>
      </c>
    </row>
    <row r="3" spans="1:22" x14ac:dyDescent="0.25">
      <c r="A3" t="s">
        <v>13</v>
      </c>
    </row>
    <row r="4" spans="1:22" x14ac:dyDescent="0.25">
      <c r="A4" t="s">
        <v>257</v>
      </c>
    </row>
    <row r="5" spans="1:22" x14ac:dyDescent="0.25">
      <c r="A5" t="s">
        <v>15</v>
      </c>
    </row>
    <row r="6" spans="1:22" x14ac:dyDescent="0.25">
      <c r="A6" t="s">
        <v>16</v>
      </c>
    </row>
    <row r="7" spans="1:22" x14ac:dyDescent="0.25">
      <c r="A7" t="s">
        <v>17</v>
      </c>
    </row>
    <row r="9" spans="1:22" x14ac:dyDescent="0.25">
      <c r="A9" t="s">
        <v>18</v>
      </c>
      <c r="B9" t="s">
        <v>19</v>
      </c>
      <c r="C9" t="s">
        <v>20</v>
      </c>
      <c r="D9" t="s">
        <v>21</v>
      </c>
      <c r="E9" t="s">
        <v>22</v>
      </c>
      <c r="F9" t="s">
        <v>9</v>
      </c>
      <c r="G9" t="s">
        <v>23</v>
      </c>
      <c r="H9" t="s">
        <v>24</v>
      </c>
      <c r="I9" t="s">
        <v>25</v>
      </c>
      <c r="J9" t="s">
        <v>26</v>
      </c>
      <c r="K9" t="s">
        <v>27</v>
      </c>
      <c r="L9" t="s">
        <v>28</v>
      </c>
      <c r="M9" t="s">
        <v>29</v>
      </c>
      <c r="N9" t="s">
        <v>30</v>
      </c>
      <c r="O9" s="92" t="s">
        <v>258</v>
      </c>
      <c r="Q9" t="s">
        <v>31</v>
      </c>
      <c r="R9" t="s">
        <v>32</v>
      </c>
      <c r="S9" t="s">
        <v>33</v>
      </c>
      <c r="T9" t="s">
        <v>34</v>
      </c>
      <c r="U9" t="s">
        <v>35</v>
      </c>
      <c r="V9" t="s">
        <v>36</v>
      </c>
    </row>
    <row r="10" spans="1:22" x14ac:dyDescent="0.25">
      <c r="A10" t="s">
        <v>37</v>
      </c>
      <c r="B10">
        <v>2030</v>
      </c>
      <c r="C10" t="s">
        <v>122</v>
      </c>
      <c r="D10" t="s">
        <v>39</v>
      </c>
      <c r="E10" t="s">
        <v>39</v>
      </c>
      <c r="F10" t="s">
        <v>10</v>
      </c>
      <c r="G10">
        <v>0.16302285699999899</v>
      </c>
      <c r="H10">
        <v>0.19725785699999901</v>
      </c>
      <c r="I10">
        <v>0.23475308</v>
      </c>
      <c r="J10">
        <v>0.96647689799999903</v>
      </c>
      <c r="K10">
        <v>0.68888010899999896</v>
      </c>
      <c r="L10">
        <v>437.57669163291303</v>
      </c>
      <c r="M10">
        <v>3.4091351300000003E-2</v>
      </c>
      <c r="N10">
        <v>3.1364235329999997E-2</v>
      </c>
      <c r="O10" s="6">
        <f>N10/M10</f>
        <v>0.92000563585756112</v>
      </c>
      <c r="Q10">
        <v>4.1493227399999897E-3</v>
      </c>
      <c r="R10">
        <v>9.8092657999999999E-6</v>
      </c>
      <c r="S10">
        <v>14232956.681202</v>
      </c>
      <c r="T10">
        <v>1348142.58668359</v>
      </c>
      <c r="U10">
        <v>642.61199636799404</v>
      </c>
      <c r="V10">
        <v>0</v>
      </c>
    </row>
    <row r="11" spans="1:22" x14ac:dyDescent="0.25">
      <c r="A11" t="s">
        <v>37</v>
      </c>
      <c r="B11">
        <v>2030</v>
      </c>
      <c r="C11" t="s">
        <v>38</v>
      </c>
      <c r="D11" t="s">
        <v>39</v>
      </c>
      <c r="E11" t="s">
        <v>39</v>
      </c>
      <c r="F11" t="s">
        <v>10</v>
      </c>
      <c r="G11">
        <v>3.7925873010000097E-2</v>
      </c>
      <c r="H11">
        <v>4.5578249010000203E-2</v>
      </c>
      <c r="I11">
        <v>0.104617731099999</v>
      </c>
      <c r="J11">
        <v>0.42100434579999901</v>
      </c>
      <c r="K11">
        <v>0.24499210229999999</v>
      </c>
      <c r="L11">
        <v>182.013106778327</v>
      </c>
      <c r="M11">
        <v>7.8482856289999701E-3</v>
      </c>
      <c r="N11">
        <v>7.2250223139999998E-3</v>
      </c>
      <c r="O11" s="6">
        <f t="shared" ref="O11:O13" si="0">N11/M11</f>
        <v>0.92058605605573673</v>
      </c>
      <c r="Q11">
        <v>1.3336650800000001E-3</v>
      </c>
      <c r="R11">
        <v>2.46419101619E-2</v>
      </c>
      <c r="S11">
        <v>5920298.5755927097</v>
      </c>
      <c r="T11">
        <v>3325160.87611468</v>
      </c>
      <c r="U11">
        <v>1881.54614190797</v>
      </c>
      <c r="V11">
        <v>0</v>
      </c>
    </row>
    <row r="12" spans="1:22" x14ac:dyDescent="0.25">
      <c r="A12" t="s">
        <v>37</v>
      </c>
      <c r="B12">
        <v>2030</v>
      </c>
      <c r="C12" t="s">
        <v>259</v>
      </c>
      <c r="D12" t="s">
        <v>39</v>
      </c>
      <c r="E12" t="s">
        <v>39</v>
      </c>
      <c r="F12" t="s">
        <v>10</v>
      </c>
      <c r="G12">
        <v>1.18393689999999E-2</v>
      </c>
      <c r="H12">
        <v>1.4325630000000001E-2</v>
      </c>
      <c r="I12">
        <v>1.70486859999999E-2</v>
      </c>
      <c r="J12">
        <v>0.103195072999999</v>
      </c>
      <c r="K12">
        <v>2.1713085999999999E-2</v>
      </c>
      <c r="L12">
        <v>3.5842216535689899</v>
      </c>
      <c r="M12">
        <v>5.5670000000000003E-4</v>
      </c>
      <c r="N12">
        <v>5.1230000000000004E-4</v>
      </c>
      <c r="O12" s="6">
        <f t="shared" si="0"/>
        <v>0.92024429674869768</v>
      </c>
      <c r="Q12">
        <v>3.396E-5</v>
      </c>
      <c r="R12">
        <v>8.0319999999999994E-8</v>
      </c>
      <c r="S12">
        <v>116583.155608</v>
      </c>
      <c r="T12">
        <v>143222.47187199999</v>
      </c>
      <c r="U12">
        <v>0</v>
      </c>
      <c r="V12">
        <v>0</v>
      </c>
    </row>
    <row r="13" spans="1:22" x14ac:dyDescent="0.25">
      <c r="A13" t="s">
        <v>37</v>
      </c>
      <c r="B13">
        <v>2030</v>
      </c>
      <c r="C13" t="s">
        <v>260</v>
      </c>
      <c r="D13" t="s">
        <v>39</v>
      </c>
      <c r="E13" t="s">
        <v>39</v>
      </c>
      <c r="F13" t="s">
        <v>10</v>
      </c>
      <c r="G13">
        <v>6.3105099999999897E-3</v>
      </c>
      <c r="H13">
        <v>7.5555999999999896E-3</v>
      </c>
      <c r="I13">
        <v>3.4253405999999903E-2</v>
      </c>
      <c r="J13">
        <v>7.5801687999999798E-2</v>
      </c>
      <c r="K13">
        <v>5.5116534000000397E-2</v>
      </c>
      <c r="L13">
        <v>30.6030091153958</v>
      </c>
      <c r="M13">
        <v>2.0969416000000099E-3</v>
      </c>
      <c r="N13">
        <v>1.9286359999999901E-3</v>
      </c>
      <c r="O13" s="6">
        <f t="shared" si="0"/>
        <v>0.91973758353593682</v>
      </c>
      <c r="Q13">
        <v>9.6323999999999995E-5</v>
      </c>
      <c r="R13">
        <v>1.0325422819999999E-2</v>
      </c>
      <c r="S13">
        <v>995417.05804399704</v>
      </c>
      <c r="T13">
        <v>665629.24348800199</v>
      </c>
      <c r="U13">
        <v>0</v>
      </c>
      <c r="V13">
        <v>0</v>
      </c>
    </row>
    <row r="23" spans="11:14" x14ac:dyDescent="0.25">
      <c r="K23" s="75"/>
      <c r="L23" s="75"/>
      <c r="M23" s="75"/>
      <c r="N23" s="75"/>
    </row>
    <row r="36" spans="11:14" x14ac:dyDescent="0.25">
      <c r="K36" s="75"/>
      <c r="L36" s="75"/>
      <c r="M36" s="75"/>
      <c r="N36" s="75"/>
    </row>
    <row r="50" spans="11:14" x14ac:dyDescent="0.25">
      <c r="K50" s="75"/>
      <c r="L50" s="75"/>
      <c r="M50" s="75"/>
      <c r="N50" s="75"/>
    </row>
    <row r="64" spans="11:14" x14ac:dyDescent="0.25">
      <c r="K64" s="75"/>
      <c r="L64" s="75"/>
      <c r="M64" s="75"/>
      <c r="N64" s="75"/>
    </row>
    <row r="77" spans="11:14" x14ac:dyDescent="0.25">
      <c r="K77" s="75"/>
      <c r="L77" s="75"/>
      <c r="M77" s="75"/>
      <c r="N77" s="75"/>
    </row>
    <row r="90" spans="11:14" x14ac:dyDescent="0.25">
      <c r="K90" s="75"/>
      <c r="L90" s="75"/>
      <c r="M90" s="75"/>
      <c r="N90" s="75"/>
    </row>
    <row r="102" spans="11:14" x14ac:dyDescent="0.25">
      <c r="K102" s="75"/>
      <c r="L102" s="75"/>
      <c r="M102" s="75"/>
      <c r="N102" s="75"/>
    </row>
    <row r="114" spans="11:14" x14ac:dyDescent="0.25">
      <c r="K114" s="75"/>
      <c r="L114" s="75"/>
      <c r="M114" s="75"/>
      <c r="N114" s="75"/>
    </row>
    <row r="125" spans="11:14" x14ac:dyDescent="0.25">
      <c r="K125" s="75"/>
      <c r="L125" s="75"/>
      <c r="M125" s="75"/>
      <c r="N125" s="75"/>
    </row>
    <row r="136" spans="11:14" x14ac:dyDescent="0.25">
      <c r="K136" s="75"/>
      <c r="L136" s="75"/>
      <c r="M136" s="75"/>
      <c r="N136" s="75"/>
    </row>
    <row r="146" spans="11:14" x14ac:dyDescent="0.25">
      <c r="K146" s="75"/>
      <c r="L146" s="75"/>
      <c r="M146" s="75"/>
      <c r="N146" s="75"/>
    </row>
    <row r="155" spans="11:14" x14ac:dyDescent="0.25">
      <c r="K155" s="75"/>
      <c r="L155" s="75"/>
      <c r="M155" s="75"/>
      <c r="N155" s="7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33"/>
  <sheetViews>
    <sheetView topLeftCell="A3" workbookViewId="0">
      <selection activeCell="K22" sqref="K22"/>
    </sheetView>
  </sheetViews>
  <sheetFormatPr defaultRowHeight="15" x14ac:dyDescent="0.25"/>
  <cols>
    <col min="2" max="2" width="54.5703125" customWidth="1"/>
  </cols>
  <sheetData>
    <row r="2" spans="2:10" ht="15.75" x14ac:dyDescent="0.25">
      <c r="B2" s="48" t="s">
        <v>311</v>
      </c>
    </row>
    <row r="3" spans="2:10" ht="15.75" x14ac:dyDescent="0.25">
      <c r="B3" s="48"/>
    </row>
    <row r="4" spans="2:10" ht="16.5" thickBot="1" x14ac:dyDescent="0.3">
      <c r="B4" s="48"/>
    </row>
    <row r="5" spans="2:10" ht="15.75" thickBot="1" x14ac:dyDescent="0.3">
      <c r="B5" s="132" t="s">
        <v>451</v>
      </c>
    </row>
    <row r="6" spans="2:10" x14ac:dyDescent="0.25">
      <c r="B6" s="7"/>
      <c r="C6" s="61">
        <v>2025</v>
      </c>
      <c r="D6" s="61">
        <v>2026</v>
      </c>
      <c r="E6" s="61">
        <v>2027</v>
      </c>
      <c r="F6" s="61">
        <v>2028</v>
      </c>
      <c r="G6" s="61">
        <v>2029</v>
      </c>
      <c r="H6" s="62">
        <v>2030</v>
      </c>
    </row>
    <row r="7" spans="2:10" x14ac:dyDescent="0.25">
      <c r="B7" s="57" t="s">
        <v>302</v>
      </c>
      <c r="C7" s="55">
        <v>0</v>
      </c>
      <c r="D7" s="64">
        <v>480</v>
      </c>
      <c r="E7" s="64">
        <v>480</v>
      </c>
      <c r="F7" s="64">
        <v>60</v>
      </c>
      <c r="G7" s="64">
        <v>0</v>
      </c>
      <c r="H7" s="126">
        <v>0</v>
      </c>
    </row>
    <row r="8" spans="2:10" ht="15.75" thickBot="1" x14ac:dyDescent="0.3">
      <c r="B8" s="63" t="s">
        <v>148</v>
      </c>
      <c r="C8" s="59">
        <f>C7</f>
        <v>0</v>
      </c>
      <c r="D8" s="127">
        <f>C8+D7</f>
        <v>480</v>
      </c>
      <c r="E8" s="127">
        <f t="shared" ref="E8" si="0">D8+E7</f>
        <v>960</v>
      </c>
      <c r="F8" s="127">
        <f t="shared" ref="F8" si="1">E8+F7</f>
        <v>1020</v>
      </c>
      <c r="G8" s="127">
        <f t="shared" ref="G8" si="2">F8+G7</f>
        <v>1020</v>
      </c>
      <c r="H8" s="128">
        <f t="shared" ref="H8" si="3">G8+H7</f>
        <v>1020</v>
      </c>
    </row>
    <row r="9" spans="2:10" x14ac:dyDescent="0.25">
      <c r="B9" s="54"/>
      <c r="C9" s="54"/>
      <c r="D9" s="157"/>
      <c r="E9" s="157"/>
      <c r="F9" s="157"/>
      <c r="G9" s="157"/>
      <c r="H9" s="157"/>
    </row>
    <row r="10" spans="2:10" ht="16.5" thickBot="1" x14ac:dyDescent="0.3">
      <c r="B10" s="48"/>
    </row>
    <row r="11" spans="2:10" ht="15.75" thickBot="1" x14ac:dyDescent="0.3">
      <c r="B11" s="132" t="s">
        <v>450</v>
      </c>
    </row>
    <row r="12" spans="2:10" x14ac:dyDescent="0.25">
      <c r="B12" s="56"/>
      <c r="C12" s="61">
        <v>2025</v>
      </c>
      <c r="D12" s="61">
        <v>2026</v>
      </c>
      <c r="E12" s="61">
        <v>2027</v>
      </c>
      <c r="F12" s="61">
        <v>2028</v>
      </c>
      <c r="G12" s="61">
        <v>2029</v>
      </c>
      <c r="H12" s="62">
        <v>2030</v>
      </c>
    </row>
    <row r="13" spans="2:10" x14ac:dyDescent="0.25">
      <c r="B13" s="57" t="s">
        <v>265</v>
      </c>
      <c r="C13" s="55">
        <v>0</v>
      </c>
      <c r="D13" s="55">
        <v>30</v>
      </c>
      <c r="E13" s="55">
        <v>40</v>
      </c>
      <c r="F13" s="55">
        <v>0</v>
      </c>
      <c r="G13" s="55">
        <v>0</v>
      </c>
      <c r="H13" s="58">
        <v>0</v>
      </c>
    </row>
    <row r="14" spans="2:10" x14ac:dyDescent="0.25">
      <c r="B14" s="57" t="s">
        <v>266</v>
      </c>
      <c r="C14" s="55">
        <f>C13</f>
        <v>0</v>
      </c>
      <c r="D14" s="55">
        <f>C14+D13</f>
        <v>30</v>
      </c>
      <c r="E14" s="55">
        <f t="shared" ref="E14:H14" si="4">D14+E13</f>
        <v>70</v>
      </c>
      <c r="F14" s="55">
        <f t="shared" si="4"/>
        <v>70</v>
      </c>
      <c r="G14" s="55">
        <f t="shared" si="4"/>
        <v>70</v>
      </c>
      <c r="H14" s="58">
        <f t="shared" si="4"/>
        <v>70</v>
      </c>
    </row>
    <row r="15" spans="2:10" x14ac:dyDescent="0.25">
      <c r="B15" s="57" t="s">
        <v>267</v>
      </c>
      <c r="C15" s="55">
        <v>0</v>
      </c>
      <c r="D15" s="55">
        <v>179</v>
      </c>
      <c r="E15" s="55">
        <v>194</v>
      </c>
      <c r="F15" s="55">
        <v>0</v>
      </c>
      <c r="G15" s="55">
        <v>0</v>
      </c>
      <c r="H15" s="58">
        <v>0</v>
      </c>
    </row>
    <row r="16" spans="2:10" x14ac:dyDescent="0.25">
      <c r="B16" s="57" t="s">
        <v>266</v>
      </c>
      <c r="C16" s="55">
        <f>C15</f>
        <v>0</v>
      </c>
      <c r="D16" s="55">
        <f>C16+D15</f>
        <v>179</v>
      </c>
      <c r="E16" s="55">
        <f t="shared" ref="E16:H16" si="5">D16+E15</f>
        <v>373</v>
      </c>
      <c r="F16" s="55">
        <f t="shared" si="5"/>
        <v>373</v>
      </c>
      <c r="G16" s="55">
        <f t="shared" si="5"/>
        <v>373</v>
      </c>
      <c r="H16" s="58">
        <f t="shared" si="5"/>
        <v>373</v>
      </c>
      <c r="J16" s="54"/>
    </row>
    <row r="17" spans="2:8" x14ac:dyDescent="0.25">
      <c r="B17" s="57" t="s">
        <v>268</v>
      </c>
      <c r="C17" s="55">
        <v>0</v>
      </c>
      <c r="D17" s="55">
        <v>179</v>
      </c>
      <c r="E17" s="55">
        <v>194</v>
      </c>
      <c r="F17" s="55">
        <v>0</v>
      </c>
      <c r="G17" s="55">
        <v>0</v>
      </c>
      <c r="H17" s="58">
        <v>0</v>
      </c>
    </row>
    <row r="18" spans="2:8" ht="15.75" thickBot="1" x14ac:dyDescent="0.3">
      <c r="B18" s="63" t="s">
        <v>266</v>
      </c>
      <c r="C18" s="59">
        <f>C17</f>
        <v>0</v>
      </c>
      <c r="D18" s="59">
        <f>C18+D17</f>
        <v>179</v>
      </c>
      <c r="E18" s="59">
        <f t="shared" ref="E18:H18" si="6">D18+E17</f>
        <v>373</v>
      </c>
      <c r="F18" s="59">
        <f t="shared" si="6"/>
        <v>373</v>
      </c>
      <c r="G18" s="59">
        <f t="shared" si="6"/>
        <v>373</v>
      </c>
      <c r="H18" s="60">
        <f t="shared" si="6"/>
        <v>373</v>
      </c>
    </row>
    <row r="19" spans="2:8" x14ac:dyDescent="0.25">
      <c r="B19" s="54"/>
      <c r="C19" s="54"/>
      <c r="D19" s="54"/>
      <c r="E19" s="54"/>
      <c r="F19" s="54"/>
      <c r="G19" s="54"/>
      <c r="H19" s="54"/>
    </row>
    <row r="20" spans="2:8" ht="15.75" thickBot="1" x14ac:dyDescent="0.3">
      <c r="B20" s="54"/>
      <c r="C20" s="54"/>
      <c r="D20" s="54"/>
      <c r="E20" s="54"/>
      <c r="F20" s="54"/>
      <c r="G20" s="54"/>
      <c r="H20" s="54"/>
    </row>
    <row r="21" spans="2:8" ht="15.75" thickBot="1" x14ac:dyDescent="0.3">
      <c r="B21" s="132" t="s">
        <v>452</v>
      </c>
      <c r="C21" s="54"/>
      <c r="D21" s="54"/>
      <c r="E21" s="54"/>
      <c r="F21" s="54"/>
      <c r="G21" s="54"/>
      <c r="H21" s="54"/>
    </row>
    <row r="22" spans="2:8" x14ac:dyDescent="0.25">
      <c r="B22" s="56"/>
      <c r="C22" s="61">
        <v>2025</v>
      </c>
      <c r="D22" s="61">
        <v>2026</v>
      </c>
      <c r="E22" s="61">
        <v>2027</v>
      </c>
      <c r="F22" s="61">
        <v>2028</v>
      </c>
      <c r="G22" s="61">
        <v>2029</v>
      </c>
      <c r="H22" s="62">
        <v>2030</v>
      </c>
    </row>
    <row r="23" spans="2:8" x14ac:dyDescent="0.25">
      <c r="B23" s="57" t="s">
        <v>269</v>
      </c>
      <c r="C23" s="55">
        <v>0</v>
      </c>
      <c r="D23" s="55">
        <v>18</v>
      </c>
      <c r="E23" s="55">
        <v>16</v>
      </c>
      <c r="F23" s="55">
        <v>0</v>
      </c>
      <c r="G23" s="55">
        <v>0</v>
      </c>
      <c r="H23" s="58">
        <v>0</v>
      </c>
    </row>
    <row r="24" spans="2:8" x14ac:dyDescent="0.25">
      <c r="B24" s="57" t="s">
        <v>270</v>
      </c>
      <c r="C24" s="55">
        <f>C23</f>
        <v>0</v>
      </c>
      <c r="D24" s="55">
        <f>C24+D23</f>
        <v>18</v>
      </c>
      <c r="E24" s="55">
        <f t="shared" ref="E24:H24" si="7">D24+E23</f>
        <v>34</v>
      </c>
      <c r="F24" s="55">
        <f t="shared" si="7"/>
        <v>34</v>
      </c>
      <c r="G24" s="55">
        <f t="shared" si="7"/>
        <v>34</v>
      </c>
      <c r="H24" s="58">
        <f t="shared" si="7"/>
        <v>34</v>
      </c>
    </row>
    <row r="25" spans="2:8" x14ac:dyDescent="0.25">
      <c r="B25" s="57" t="s">
        <v>271</v>
      </c>
      <c r="C25" s="55">
        <v>0</v>
      </c>
      <c r="D25" s="55">
        <v>14</v>
      </c>
      <c r="E25" s="55">
        <v>12</v>
      </c>
      <c r="F25" s="55">
        <v>0</v>
      </c>
      <c r="G25" s="55">
        <v>0</v>
      </c>
      <c r="H25" s="58">
        <v>0</v>
      </c>
    </row>
    <row r="26" spans="2:8" ht="15.75" thickBot="1" x14ac:dyDescent="0.3">
      <c r="B26" s="63" t="s">
        <v>271</v>
      </c>
      <c r="C26" s="59">
        <f>C25</f>
        <v>0</v>
      </c>
      <c r="D26" s="59">
        <f>C26+D25</f>
        <v>14</v>
      </c>
      <c r="E26" s="59">
        <f t="shared" ref="E26:H26" si="8">D26+E25</f>
        <v>26</v>
      </c>
      <c r="F26" s="59">
        <f t="shared" si="8"/>
        <v>26</v>
      </c>
      <c r="G26" s="59">
        <f t="shared" si="8"/>
        <v>26</v>
      </c>
      <c r="H26" s="60">
        <f t="shared" si="8"/>
        <v>26</v>
      </c>
    </row>
    <row r="27" spans="2:8" x14ac:dyDescent="0.25">
      <c r="B27" s="54"/>
      <c r="C27" s="54"/>
      <c r="D27" s="54"/>
      <c r="E27" s="54"/>
      <c r="F27" s="54"/>
      <c r="G27" s="54"/>
      <c r="H27" s="54"/>
    </row>
    <row r="28" spans="2:8" ht="15.75" thickBot="1" x14ac:dyDescent="0.3">
      <c r="B28" s="54"/>
      <c r="C28" s="54"/>
      <c r="D28" s="54"/>
      <c r="E28" s="54"/>
      <c r="F28" s="54"/>
      <c r="G28" s="54"/>
      <c r="H28" s="54"/>
    </row>
    <row r="29" spans="2:8" ht="15.75" thickBot="1" x14ac:dyDescent="0.3">
      <c r="B29" s="132" t="s">
        <v>453</v>
      </c>
      <c r="C29" s="54"/>
      <c r="D29" s="54"/>
      <c r="E29" s="54"/>
      <c r="F29" s="54"/>
      <c r="G29" s="54"/>
      <c r="H29" s="54"/>
    </row>
    <row r="30" spans="2:8" x14ac:dyDescent="0.25">
      <c r="B30" s="56"/>
      <c r="C30" s="61">
        <v>2025</v>
      </c>
      <c r="D30" s="61">
        <v>2026</v>
      </c>
      <c r="E30" s="61">
        <v>2027</v>
      </c>
      <c r="F30" s="61">
        <v>2028</v>
      </c>
      <c r="G30" s="61">
        <v>2029</v>
      </c>
      <c r="H30" s="62">
        <v>2030</v>
      </c>
    </row>
    <row r="31" spans="2:8" x14ac:dyDescent="0.25">
      <c r="B31" s="57" t="s">
        <v>272</v>
      </c>
      <c r="C31" s="55">
        <v>0</v>
      </c>
      <c r="D31" s="55">
        <v>0</v>
      </c>
      <c r="E31" s="55">
        <v>4</v>
      </c>
      <c r="F31" s="55">
        <v>14</v>
      </c>
      <c r="G31" s="55">
        <v>0</v>
      </c>
      <c r="H31" s="58">
        <v>0</v>
      </c>
    </row>
    <row r="32" spans="2:8" ht="15.75" thickBot="1" x14ac:dyDescent="0.3">
      <c r="B32" s="63" t="s">
        <v>273</v>
      </c>
      <c r="C32" s="59">
        <f>C31</f>
        <v>0</v>
      </c>
      <c r="D32" s="59">
        <f>C32+D31</f>
        <v>0</v>
      </c>
      <c r="E32" s="59">
        <f t="shared" ref="E32:H32" si="9">D32+E31</f>
        <v>4</v>
      </c>
      <c r="F32" s="59">
        <f t="shared" si="9"/>
        <v>18</v>
      </c>
      <c r="G32" s="59">
        <f t="shared" si="9"/>
        <v>18</v>
      </c>
      <c r="H32" s="60">
        <f t="shared" si="9"/>
        <v>18</v>
      </c>
    </row>
    <row r="33" spans="2:8" x14ac:dyDescent="0.25">
      <c r="B33" s="54"/>
      <c r="C33" s="54"/>
      <c r="D33" s="54"/>
      <c r="E33" s="54"/>
      <c r="F33" s="54"/>
      <c r="G33" s="54"/>
      <c r="H33" s="5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4:AC132"/>
  <sheetViews>
    <sheetView tabSelected="1" topLeftCell="A71" workbookViewId="0">
      <selection activeCell="D21" sqref="D21"/>
    </sheetView>
  </sheetViews>
  <sheetFormatPr defaultRowHeight="15" x14ac:dyDescent="0.25"/>
  <cols>
    <col min="2" max="2" width="45.85546875" customWidth="1"/>
    <col min="3" max="3" width="11.85546875" customWidth="1"/>
    <col min="4" max="4" width="15.42578125" customWidth="1"/>
    <col min="5" max="29" width="15.7109375" customWidth="1"/>
  </cols>
  <sheetData>
    <row r="4" spans="2:29" ht="15.75" x14ac:dyDescent="0.25">
      <c r="B4" s="48" t="s">
        <v>449</v>
      </c>
    </row>
    <row r="6" spans="2:29" ht="15.75" thickBot="1" x14ac:dyDescent="0.3"/>
    <row r="7" spans="2:29" x14ac:dyDescent="0.25">
      <c r="B7" s="174"/>
      <c r="C7" s="175"/>
      <c r="D7" s="61">
        <v>2025</v>
      </c>
      <c r="E7" s="61">
        <v>2026</v>
      </c>
      <c r="F7" s="61">
        <v>2027</v>
      </c>
      <c r="G7" s="61">
        <v>2028</v>
      </c>
      <c r="H7" s="61">
        <v>2029</v>
      </c>
      <c r="I7" s="61">
        <v>2030</v>
      </c>
      <c r="J7" s="61">
        <v>2031</v>
      </c>
      <c r="K7" s="61">
        <v>2032</v>
      </c>
      <c r="L7" s="61">
        <v>2033</v>
      </c>
      <c r="M7" s="61">
        <v>2034</v>
      </c>
      <c r="N7" s="61">
        <v>2035</v>
      </c>
      <c r="O7" s="61">
        <v>2036</v>
      </c>
      <c r="P7" s="61">
        <v>2037</v>
      </c>
      <c r="Q7" s="61">
        <v>2038</v>
      </c>
      <c r="R7" s="61">
        <v>2039</v>
      </c>
      <c r="S7" s="61">
        <v>2040</v>
      </c>
      <c r="T7" s="61">
        <v>2041</v>
      </c>
      <c r="U7" s="61">
        <v>2042</v>
      </c>
      <c r="V7" s="61">
        <v>2043</v>
      </c>
      <c r="W7" s="61">
        <v>2044</v>
      </c>
      <c r="X7" s="61">
        <v>2045</v>
      </c>
      <c r="Y7" s="61">
        <v>2046</v>
      </c>
      <c r="Z7" s="61">
        <v>2047</v>
      </c>
      <c r="AA7" s="61">
        <v>2048</v>
      </c>
      <c r="AB7" s="61">
        <v>2049</v>
      </c>
      <c r="AC7" s="62">
        <v>2050</v>
      </c>
    </row>
    <row r="8" spans="2:29" x14ac:dyDescent="0.25">
      <c r="B8" s="168" t="s">
        <v>288</v>
      </c>
      <c r="C8" s="169"/>
      <c r="D8" s="1">
        <f>'Number of ZE Units'!C7</f>
        <v>0</v>
      </c>
      <c r="E8" s="1">
        <f>'Number of ZE Units'!D7</f>
        <v>480</v>
      </c>
      <c r="F8" s="1">
        <f>'Number of ZE Units'!E7</f>
        <v>480</v>
      </c>
      <c r="G8" s="1">
        <f>'Number of ZE Units'!F7</f>
        <v>60</v>
      </c>
      <c r="H8" s="1">
        <f>'Number of ZE Units'!G7</f>
        <v>0</v>
      </c>
      <c r="I8" s="1">
        <f>'Number of ZE Units'!H7</f>
        <v>0</v>
      </c>
      <c r="J8" s="1"/>
      <c r="K8" s="1"/>
      <c r="L8" s="1"/>
      <c r="M8" s="1"/>
      <c r="N8" s="1"/>
      <c r="O8" s="1"/>
      <c r="P8" s="1"/>
      <c r="Q8" s="1"/>
      <c r="R8" s="1"/>
      <c r="S8" s="1"/>
      <c r="T8" s="1"/>
      <c r="U8" s="1"/>
      <c r="V8" s="1"/>
      <c r="W8" s="1"/>
      <c r="X8" s="1"/>
      <c r="Y8" s="1"/>
      <c r="Z8" s="1"/>
      <c r="AA8" s="1"/>
      <c r="AB8" s="1"/>
      <c r="AC8" s="11"/>
    </row>
    <row r="9" spans="2:29" x14ac:dyDescent="0.25">
      <c r="B9" s="168" t="s">
        <v>286</v>
      </c>
      <c r="C9" s="169"/>
      <c r="D9" s="1">
        <f>D8</f>
        <v>0</v>
      </c>
      <c r="E9" s="3">
        <f>D9+E8</f>
        <v>480</v>
      </c>
      <c r="F9" s="3">
        <f>E9+F8</f>
        <v>960</v>
      </c>
      <c r="G9" s="3">
        <f>F9+G8</f>
        <v>1020</v>
      </c>
      <c r="H9" s="3">
        <f t="shared" ref="H9:AC9" si="0">G9+H8</f>
        <v>1020</v>
      </c>
      <c r="I9" s="3">
        <f t="shared" si="0"/>
        <v>1020</v>
      </c>
      <c r="J9" s="3">
        <f t="shared" si="0"/>
        <v>1020</v>
      </c>
      <c r="K9" s="3">
        <f t="shared" si="0"/>
        <v>1020</v>
      </c>
      <c r="L9" s="3">
        <f t="shared" si="0"/>
        <v>1020</v>
      </c>
      <c r="M9" s="3">
        <f t="shared" si="0"/>
        <v>1020</v>
      </c>
      <c r="N9" s="3">
        <f t="shared" si="0"/>
        <v>1020</v>
      </c>
      <c r="O9" s="3">
        <f t="shared" si="0"/>
        <v>1020</v>
      </c>
      <c r="P9" s="3">
        <f t="shared" si="0"/>
        <v>1020</v>
      </c>
      <c r="Q9" s="3">
        <f t="shared" si="0"/>
        <v>1020</v>
      </c>
      <c r="R9" s="3">
        <f t="shared" si="0"/>
        <v>1020</v>
      </c>
      <c r="S9" s="3">
        <f t="shared" si="0"/>
        <v>1020</v>
      </c>
      <c r="T9" s="3">
        <f t="shared" si="0"/>
        <v>1020</v>
      </c>
      <c r="U9" s="3">
        <f t="shared" si="0"/>
        <v>1020</v>
      </c>
      <c r="V9" s="3">
        <f t="shared" si="0"/>
        <v>1020</v>
      </c>
      <c r="W9" s="3">
        <f t="shared" si="0"/>
        <v>1020</v>
      </c>
      <c r="X9" s="3">
        <f t="shared" si="0"/>
        <v>1020</v>
      </c>
      <c r="Y9" s="3">
        <f t="shared" si="0"/>
        <v>1020</v>
      </c>
      <c r="Z9" s="3">
        <f t="shared" si="0"/>
        <v>1020</v>
      </c>
      <c r="AA9" s="3">
        <f t="shared" si="0"/>
        <v>1020</v>
      </c>
      <c r="AB9" s="3">
        <f t="shared" si="0"/>
        <v>1020</v>
      </c>
      <c r="AC9" s="28">
        <f t="shared" si="0"/>
        <v>1020</v>
      </c>
    </row>
    <row r="10" spans="2:29" x14ac:dyDescent="0.25">
      <c r="B10" s="168" t="s">
        <v>287</v>
      </c>
      <c r="C10" s="169"/>
      <c r="D10" s="1"/>
      <c r="E10" s="3">
        <f t="shared" ref="E10:AC10" si="1">E9*$C$68</f>
        <v>120000</v>
      </c>
      <c r="F10" s="3">
        <f t="shared" si="1"/>
        <v>240000</v>
      </c>
      <c r="G10" s="3">
        <f t="shared" si="1"/>
        <v>255000</v>
      </c>
      <c r="H10" s="3">
        <f t="shared" si="1"/>
        <v>255000</v>
      </c>
      <c r="I10" s="3">
        <f t="shared" si="1"/>
        <v>255000</v>
      </c>
      <c r="J10" s="3">
        <f t="shared" si="1"/>
        <v>255000</v>
      </c>
      <c r="K10" s="3">
        <f t="shared" si="1"/>
        <v>255000</v>
      </c>
      <c r="L10" s="3">
        <f t="shared" si="1"/>
        <v>255000</v>
      </c>
      <c r="M10" s="3">
        <f t="shared" si="1"/>
        <v>255000</v>
      </c>
      <c r="N10" s="3">
        <f t="shared" si="1"/>
        <v>255000</v>
      </c>
      <c r="O10" s="3">
        <f t="shared" si="1"/>
        <v>255000</v>
      </c>
      <c r="P10" s="3">
        <f t="shared" si="1"/>
        <v>255000</v>
      </c>
      <c r="Q10" s="3">
        <f t="shared" si="1"/>
        <v>255000</v>
      </c>
      <c r="R10" s="3">
        <f t="shared" si="1"/>
        <v>255000</v>
      </c>
      <c r="S10" s="3">
        <f t="shared" si="1"/>
        <v>255000</v>
      </c>
      <c r="T10" s="3">
        <f t="shared" si="1"/>
        <v>255000</v>
      </c>
      <c r="U10" s="3">
        <f t="shared" si="1"/>
        <v>255000</v>
      </c>
      <c r="V10" s="3">
        <f t="shared" si="1"/>
        <v>255000</v>
      </c>
      <c r="W10" s="3">
        <f t="shared" si="1"/>
        <v>255000</v>
      </c>
      <c r="X10" s="3">
        <f t="shared" si="1"/>
        <v>255000</v>
      </c>
      <c r="Y10" s="3">
        <f t="shared" si="1"/>
        <v>255000</v>
      </c>
      <c r="Z10" s="3">
        <f t="shared" si="1"/>
        <v>255000</v>
      </c>
      <c r="AA10" s="3">
        <f t="shared" si="1"/>
        <v>255000</v>
      </c>
      <c r="AB10" s="3">
        <f t="shared" si="1"/>
        <v>255000</v>
      </c>
      <c r="AC10" s="28">
        <f t="shared" si="1"/>
        <v>255000</v>
      </c>
    </row>
    <row r="11" spans="2:29" x14ac:dyDescent="0.25">
      <c r="B11" s="168" t="s">
        <v>289</v>
      </c>
      <c r="C11" s="169"/>
      <c r="D11" s="1"/>
      <c r="E11" s="76">
        <v>0.2</v>
      </c>
      <c r="F11" s="76">
        <v>0.4</v>
      </c>
      <c r="G11" s="76">
        <v>0.6</v>
      </c>
      <c r="H11" s="76">
        <f>G11</f>
        <v>0.6</v>
      </c>
      <c r="I11" s="76">
        <f t="shared" ref="I11:AC11" si="2">H11</f>
        <v>0.6</v>
      </c>
      <c r="J11" s="76">
        <f t="shared" si="2"/>
        <v>0.6</v>
      </c>
      <c r="K11" s="76">
        <f t="shared" si="2"/>
        <v>0.6</v>
      </c>
      <c r="L11" s="76">
        <f t="shared" si="2"/>
        <v>0.6</v>
      </c>
      <c r="M11" s="76">
        <f t="shared" si="2"/>
        <v>0.6</v>
      </c>
      <c r="N11" s="76">
        <f t="shared" si="2"/>
        <v>0.6</v>
      </c>
      <c r="O11" s="76">
        <f t="shared" si="2"/>
        <v>0.6</v>
      </c>
      <c r="P11" s="76">
        <f t="shared" si="2"/>
        <v>0.6</v>
      </c>
      <c r="Q11" s="76">
        <f t="shared" si="2"/>
        <v>0.6</v>
      </c>
      <c r="R11" s="76">
        <f t="shared" si="2"/>
        <v>0.6</v>
      </c>
      <c r="S11" s="76">
        <f t="shared" si="2"/>
        <v>0.6</v>
      </c>
      <c r="T11" s="76">
        <f t="shared" si="2"/>
        <v>0.6</v>
      </c>
      <c r="U11" s="76">
        <f t="shared" si="2"/>
        <v>0.6</v>
      </c>
      <c r="V11" s="76">
        <f t="shared" si="2"/>
        <v>0.6</v>
      </c>
      <c r="W11" s="76">
        <f t="shared" si="2"/>
        <v>0.6</v>
      </c>
      <c r="X11" s="76">
        <f t="shared" si="2"/>
        <v>0.6</v>
      </c>
      <c r="Y11" s="76">
        <f t="shared" si="2"/>
        <v>0.6</v>
      </c>
      <c r="Z11" s="76">
        <f t="shared" si="2"/>
        <v>0.6</v>
      </c>
      <c r="AA11" s="76">
        <f t="shared" si="2"/>
        <v>0.6</v>
      </c>
      <c r="AB11" s="76">
        <f t="shared" si="2"/>
        <v>0.6</v>
      </c>
      <c r="AC11" s="106">
        <f t="shared" si="2"/>
        <v>0.6</v>
      </c>
    </row>
    <row r="12" spans="2:29" x14ac:dyDescent="0.25">
      <c r="B12" s="168" t="s">
        <v>290</v>
      </c>
      <c r="C12" s="169"/>
      <c r="D12" s="1"/>
      <c r="E12" s="97">
        <f>E10*E11*24*312</f>
        <v>179712000</v>
      </c>
      <c r="F12" s="97">
        <f t="shared" ref="F12:AC12" si="3">F10*F11*24*312</f>
        <v>718848000</v>
      </c>
      <c r="G12" s="97">
        <f t="shared" si="3"/>
        <v>1145664000</v>
      </c>
      <c r="H12" s="97">
        <f t="shared" si="3"/>
        <v>1145664000</v>
      </c>
      <c r="I12" s="97">
        <f t="shared" si="3"/>
        <v>1145664000</v>
      </c>
      <c r="J12" s="97">
        <f t="shared" si="3"/>
        <v>1145664000</v>
      </c>
      <c r="K12" s="97">
        <f t="shared" si="3"/>
        <v>1145664000</v>
      </c>
      <c r="L12" s="97">
        <f t="shared" si="3"/>
        <v>1145664000</v>
      </c>
      <c r="M12" s="97">
        <f t="shared" si="3"/>
        <v>1145664000</v>
      </c>
      <c r="N12" s="97">
        <f t="shared" si="3"/>
        <v>1145664000</v>
      </c>
      <c r="O12" s="97">
        <f t="shared" si="3"/>
        <v>1145664000</v>
      </c>
      <c r="P12" s="97">
        <f t="shared" si="3"/>
        <v>1145664000</v>
      </c>
      <c r="Q12" s="97">
        <f t="shared" si="3"/>
        <v>1145664000</v>
      </c>
      <c r="R12" s="97">
        <f t="shared" si="3"/>
        <v>1145664000</v>
      </c>
      <c r="S12" s="97">
        <f t="shared" si="3"/>
        <v>1145664000</v>
      </c>
      <c r="T12" s="97">
        <f t="shared" si="3"/>
        <v>1145664000</v>
      </c>
      <c r="U12" s="97">
        <f t="shared" si="3"/>
        <v>1145664000</v>
      </c>
      <c r="V12" s="97">
        <f t="shared" si="3"/>
        <v>1145664000</v>
      </c>
      <c r="W12" s="97">
        <f t="shared" si="3"/>
        <v>1145664000</v>
      </c>
      <c r="X12" s="97">
        <f t="shared" si="3"/>
        <v>1145664000</v>
      </c>
      <c r="Y12" s="97">
        <f t="shared" si="3"/>
        <v>1145664000</v>
      </c>
      <c r="Z12" s="97">
        <f t="shared" si="3"/>
        <v>1145664000</v>
      </c>
      <c r="AA12" s="97">
        <f t="shared" si="3"/>
        <v>1145664000</v>
      </c>
      <c r="AB12" s="97">
        <f t="shared" si="3"/>
        <v>1145664000</v>
      </c>
      <c r="AC12" s="107">
        <f t="shared" si="3"/>
        <v>1145664000</v>
      </c>
    </row>
    <row r="13" spans="2:29" x14ac:dyDescent="0.25">
      <c r="B13" s="168" t="s">
        <v>291</v>
      </c>
      <c r="C13" s="169"/>
      <c r="D13" s="1"/>
      <c r="E13" s="110">
        <f>E12/2</f>
        <v>89856000</v>
      </c>
      <c r="F13" s="110">
        <f t="shared" ref="F13:AC13" si="4">F12/2</f>
        <v>359424000</v>
      </c>
      <c r="G13" s="110">
        <f t="shared" si="4"/>
        <v>572832000</v>
      </c>
      <c r="H13" s="110">
        <f t="shared" si="4"/>
        <v>572832000</v>
      </c>
      <c r="I13" s="110">
        <f t="shared" si="4"/>
        <v>572832000</v>
      </c>
      <c r="J13" s="110">
        <f t="shared" si="4"/>
        <v>572832000</v>
      </c>
      <c r="K13" s="110">
        <f t="shared" si="4"/>
        <v>572832000</v>
      </c>
      <c r="L13" s="110">
        <f t="shared" si="4"/>
        <v>572832000</v>
      </c>
      <c r="M13" s="110">
        <f t="shared" si="4"/>
        <v>572832000</v>
      </c>
      <c r="N13" s="110">
        <f t="shared" si="4"/>
        <v>572832000</v>
      </c>
      <c r="O13" s="110">
        <f t="shared" si="4"/>
        <v>572832000</v>
      </c>
      <c r="P13" s="110">
        <f t="shared" si="4"/>
        <v>572832000</v>
      </c>
      <c r="Q13" s="110">
        <f t="shared" si="4"/>
        <v>572832000</v>
      </c>
      <c r="R13" s="110">
        <f t="shared" si="4"/>
        <v>572832000</v>
      </c>
      <c r="S13" s="110">
        <f t="shared" si="4"/>
        <v>572832000</v>
      </c>
      <c r="T13" s="110">
        <f t="shared" si="4"/>
        <v>572832000</v>
      </c>
      <c r="U13" s="110">
        <f t="shared" si="4"/>
        <v>572832000</v>
      </c>
      <c r="V13" s="110">
        <f t="shared" si="4"/>
        <v>572832000</v>
      </c>
      <c r="W13" s="110">
        <f t="shared" si="4"/>
        <v>572832000</v>
      </c>
      <c r="X13" s="110">
        <f t="shared" si="4"/>
        <v>572832000</v>
      </c>
      <c r="Y13" s="110">
        <f t="shared" si="4"/>
        <v>572832000</v>
      </c>
      <c r="Z13" s="110">
        <f t="shared" si="4"/>
        <v>572832000</v>
      </c>
      <c r="AA13" s="110">
        <f t="shared" si="4"/>
        <v>572832000</v>
      </c>
      <c r="AB13" s="110">
        <f t="shared" si="4"/>
        <v>572832000</v>
      </c>
      <c r="AC13" s="111">
        <f t="shared" si="4"/>
        <v>572832000</v>
      </c>
    </row>
    <row r="14" spans="2:29" x14ac:dyDescent="0.25">
      <c r="B14" s="168" t="s">
        <v>292</v>
      </c>
      <c r="C14" s="169"/>
      <c r="D14" s="1"/>
      <c r="E14" s="98">
        <f t="shared" ref="E14:AC14" si="5">E12/(1-$C$90)/$C89/1000</f>
        <v>222788.07413376312</v>
      </c>
      <c r="F14" s="98">
        <f t="shared" si="5"/>
        <v>891152.29653505248</v>
      </c>
      <c r="G14" s="98">
        <f t="shared" si="5"/>
        <v>1420273.9726027402</v>
      </c>
      <c r="H14" s="98">
        <f t="shared" si="5"/>
        <v>1420273.9726027402</v>
      </c>
      <c r="I14" s="98">
        <f t="shared" si="5"/>
        <v>1420273.9726027402</v>
      </c>
      <c r="J14" s="98">
        <f t="shared" si="5"/>
        <v>1420273.9726027402</v>
      </c>
      <c r="K14" s="98">
        <f t="shared" si="5"/>
        <v>1420273.9726027402</v>
      </c>
      <c r="L14" s="98">
        <f t="shared" si="5"/>
        <v>1420273.9726027402</v>
      </c>
      <c r="M14" s="98">
        <f t="shared" si="5"/>
        <v>1420273.9726027402</v>
      </c>
      <c r="N14" s="98">
        <f t="shared" si="5"/>
        <v>1420273.9726027402</v>
      </c>
      <c r="O14" s="98">
        <f t="shared" si="5"/>
        <v>1420273.9726027402</v>
      </c>
      <c r="P14" s="98">
        <f t="shared" si="5"/>
        <v>1420273.9726027402</v>
      </c>
      <c r="Q14" s="98">
        <f t="shared" si="5"/>
        <v>1420273.9726027402</v>
      </c>
      <c r="R14" s="98">
        <f t="shared" si="5"/>
        <v>1420273.9726027402</v>
      </c>
      <c r="S14" s="98">
        <f t="shared" si="5"/>
        <v>1420273.9726027402</v>
      </c>
      <c r="T14" s="98">
        <f t="shared" si="5"/>
        <v>1420273.9726027402</v>
      </c>
      <c r="U14" s="98">
        <f t="shared" si="5"/>
        <v>1420273.9726027402</v>
      </c>
      <c r="V14" s="98">
        <f t="shared" si="5"/>
        <v>1420273.9726027402</v>
      </c>
      <c r="W14" s="98">
        <f t="shared" si="5"/>
        <v>1420273.9726027402</v>
      </c>
      <c r="X14" s="98">
        <f t="shared" si="5"/>
        <v>1420273.9726027402</v>
      </c>
      <c r="Y14" s="98">
        <f t="shared" si="5"/>
        <v>1420273.9726027402</v>
      </c>
      <c r="Z14" s="98">
        <f t="shared" si="5"/>
        <v>1420273.9726027402</v>
      </c>
      <c r="AA14" s="98">
        <f t="shared" si="5"/>
        <v>1420273.9726027402</v>
      </c>
      <c r="AB14" s="98">
        <f t="shared" si="5"/>
        <v>1420273.9726027402</v>
      </c>
      <c r="AC14" s="108">
        <f t="shared" si="5"/>
        <v>1420273.9726027402</v>
      </c>
    </row>
    <row r="15" spans="2:29" ht="15.75" thickBot="1" x14ac:dyDescent="0.3">
      <c r="B15" s="170" t="s">
        <v>299</v>
      </c>
      <c r="C15" s="171"/>
      <c r="D15" s="13"/>
      <c r="E15" s="109">
        <f>E13/D72</f>
        <v>1640.0671679929912</v>
      </c>
      <c r="F15" s="109">
        <f>F13/E72</f>
        <v>6560.268671971965</v>
      </c>
      <c r="G15" s="109">
        <f>G13/F72</f>
        <v>10455.428195955319</v>
      </c>
      <c r="H15" s="109">
        <f>H13/G72</f>
        <v>10455.428195955319</v>
      </c>
      <c r="I15" s="109">
        <f>I13/$H$72</f>
        <v>10455.428195955319</v>
      </c>
      <c r="J15" s="109">
        <f t="shared" ref="J15:AC15" si="6">J13/$H$72</f>
        <v>10455.428195955319</v>
      </c>
      <c r="K15" s="109">
        <f t="shared" si="6"/>
        <v>10455.428195955319</v>
      </c>
      <c r="L15" s="109">
        <f t="shared" si="6"/>
        <v>10455.428195955319</v>
      </c>
      <c r="M15" s="109">
        <f t="shared" si="6"/>
        <v>10455.428195955319</v>
      </c>
      <c r="N15" s="109">
        <f t="shared" si="6"/>
        <v>10455.428195955319</v>
      </c>
      <c r="O15" s="109">
        <f t="shared" si="6"/>
        <v>10455.428195955319</v>
      </c>
      <c r="P15" s="109">
        <f t="shared" si="6"/>
        <v>10455.428195955319</v>
      </c>
      <c r="Q15" s="109">
        <f t="shared" si="6"/>
        <v>10455.428195955319</v>
      </c>
      <c r="R15" s="109">
        <f t="shared" si="6"/>
        <v>10455.428195955319</v>
      </c>
      <c r="S15" s="109">
        <f t="shared" si="6"/>
        <v>10455.428195955319</v>
      </c>
      <c r="T15" s="109">
        <f t="shared" si="6"/>
        <v>10455.428195955319</v>
      </c>
      <c r="U15" s="109">
        <f t="shared" si="6"/>
        <v>10455.428195955319</v>
      </c>
      <c r="V15" s="109">
        <f t="shared" si="6"/>
        <v>10455.428195955319</v>
      </c>
      <c r="W15" s="109">
        <f t="shared" si="6"/>
        <v>10455.428195955319</v>
      </c>
      <c r="X15" s="109">
        <f t="shared" si="6"/>
        <v>10455.428195955319</v>
      </c>
      <c r="Y15" s="109">
        <f t="shared" si="6"/>
        <v>10455.428195955319</v>
      </c>
      <c r="Z15" s="109">
        <f t="shared" si="6"/>
        <v>10455.428195955319</v>
      </c>
      <c r="AA15" s="109">
        <f t="shared" si="6"/>
        <v>10455.428195955319</v>
      </c>
      <c r="AB15" s="109">
        <f t="shared" si="6"/>
        <v>10455.428195955319</v>
      </c>
      <c r="AC15" s="109">
        <f t="shared" si="6"/>
        <v>10455.428195955319</v>
      </c>
    </row>
    <row r="16" spans="2:29" x14ac:dyDescent="0.25">
      <c r="B16" s="16" t="s">
        <v>316</v>
      </c>
      <c r="E16" s="99"/>
      <c r="F16" s="99"/>
      <c r="G16" s="99"/>
      <c r="H16" s="99"/>
      <c r="I16" s="99"/>
      <c r="J16" s="99"/>
      <c r="K16" s="99"/>
      <c r="L16" s="99"/>
      <c r="M16" s="99"/>
      <c r="N16" s="99"/>
      <c r="O16" s="99"/>
      <c r="P16" s="99"/>
      <c r="Q16" s="99"/>
      <c r="R16" s="99"/>
      <c r="S16" s="99"/>
      <c r="T16" s="99"/>
      <c r="U16" s="99"/>
      <c r="V16" s="99"/>
      <c r="W16" s="99"/>
      <c r="X16" s="99"/>
      <c r="Y16" s="99"/>
      <c r="Z16" s="99"/>
      <c r="AA16" s="99"/>
      <c r="AB16" s="99"/>
      <c r="AC16" s="99"/>
    </row>
    <row r="17" spans="2:29" x14ac:dyDescent="0.25">
      <c r="B17" s="16" t="s">
        <v>313</v>
      </c>
      <c r="E17" s="99"/>
      <c r="F17" s="99"/>
      <c r="G17" s="99"/>
      <c r="H17" s="99"/>
      <c r="I17" s="99"/>
      <c r="J17" s="99"/>
      <c r="K17" s="99"/>
      <c r="L17" s="99"/>
      <c r="M17" s="99"/>
      <c r="N17" s="99"/>
      <c r="O17" s="99"/>
      <c r="P17" s="99"/>
      <c r="Q17" s="99"/>
      <c r="R17" s="99"/>
      <c r="S17" s="99"/>
      <c r="T17" s="99"/>
      <c r="U17" s="99"/>
      <c r="V17" s="99"/>
      <c r="W17" s="99"/>
      <c r="X17" s="99"/>
      <c r="Y17" s="99"/>
      <c r="Z17" s="99"/>
      <c r="AA17" s="99"/>
      <c r="AB17" s="99"/>
      <c r="AC17" s="99"/>
    </row>
    <row r="18" spans="2:29" x14ac:dyDescent="0.25">
      <c r="B18" s="16" t="s">
        <v>298</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row>
    <row r="19" spans="2:29" x14ac:dyDescent="0.25">
      <c r="B19" s="16" t="s">
        <v>314</v>
      </c>
      <c r="E19" s="99"/>
      <c r="F19" s="99"/>
      <c r="G19" s="99"/>
      <c r="H19" s="99"/>
      <c r="I19" s="99"/>
      <c r="J19" s="99"/>
      <c r="K19" s="99"/>
      <c r="L19" s="99"/>
      <c r="M19" s="99"/>
      <c r="N19" s="99"/>
      <c r="O19" s="99"/>
      <c r="P19" s="99"/>
      <c r="Q19" s="99"/>
      <c r="R19" s="99"/>
      <c r="S19" s="99"/>
      <c r="T19" s="99"/>
      <c r="U19" s="99"/>
      <c r="V19" s="99"/>
      <c r="W19" s="99"/>
      <c r="X19" s="99"/>
      <c r="Y19" s="99"/>
      <c r="Z19" s="99"/>
      <c r="AA19" s="99"/>
      <c r="AB19" s="99"/>
      <c r="AC19" s="99"/>
    </row>
    <row r="20" spans="2:29" x14ac:dyDescent="0.25">
      <c r="B20" s="16" t="s">
        <v>293</v>
      </c>
      <c r="E20" s="99"/>
      <c r="F20" s="99"/>
      <c r="G20" s="99"/>
      <c r="H20" s="99"/>
      <c r="I20" s="99"/>
      <c r="J20" s="99"/>
      <c r="K20" s="99"/>
      <c r="L20" s="99"/>
      <c r="M20" s="99"/>
      <c r="N20" s="99"/>
      <c r="O20" s="99"/>
      <c r="P20" s="99"/>
      <c r="Q20" s="99"/>
      <c r="R20" s="99"/>
      <c r="S20" s="99"/>
      <c r="T20" s="99"/>
      <c r="U20" s="99"/>
      <c r="V20" s="99"/>
      <c r="W20" s="99"/>
      <c r="X20" s="99"/>
      <c r="Y20" s="99"/>
      <c r="Z20" s="99"/>
      <c r="AA20" s="99"/>
      <c r="AB20" s="99"/>
      <c r="AC20" s="99"/>
    </row>
    <row r="21" spans="2:29" x14ac:dyDescent="0.25">
      <c r="B21" s="16" t="s">
        <v>322</v>
      </c>
      <c r="E21" s="99"/>
      <c r="F21" s="99"/>
      <c r="G21" s="99"/>
      <c r="H21" s="99"/>
      <c r="I21" s="99"/>
      <c r="J21" s="99"/>
      <c r="K21" s="99"/>
      <c r="L21" s="99"/>
      <c r="M21" s="99"/>
      <c r="N21" s="99"/>
      <c r="O21" s="99"/>
      <c r="P21" s="99"/>
      <c r="Q21" s="99"/>
      <c r="R21" s="99"/>
      <c r="S21" s="99"/>
      <c r="T21" s="99"/>
      <c r="U21" s="99"/>
      <c r="V21" s="99"/>
      <c r="W21" s="99"/>
      <c r="X21" s="99"/>
      <c r="Y21" s="99"/>
      <c r="Z21" s="99"/>
      <c r="AA21" s="99"/>
      <c r="AB21" s="99"/>
      <c r="AC21" s="99"/>
    </row>
    <row r="22" spans="2:29" x14ac:dyDescent="0.25">
      <c r="B22" s="16"/>
      <c r="E22" s="99"/>
      <c r="F22" s="99"/>
      <c r="G22" s="99"/>
      <c r="H22" s="99"/>
      <c r="I22" s="99"/>
      <c r="J22" s="99"/>
      <c r="K22" s="99"/>
      <c r="L22" s="99"/>
      <c r="M22" s="99"/>
      <c r="N22" s="99"/>
      <c r="O22" s="99"/>
      <c r="P22" s="99"/>
      <c r="Q22" s="99"/>
      <c r="R22" s="99"/>
      <c r="S22" s="99"/>
      <c r="T22" s="99"/>
      <c r="U22" s="99"/>
      <c r="V22" s="99"/>
      <c r="W22" s="99"/>
      <c r="X22" s="99"/>
      <c r="Y22" s="99"/>
      <c r="Z22" s="99"/>
      <c r="AA22" s="99"/>
      <c r="AB22" s="99"/>
      <c r="AC22" s="99"/>
    </row>
    <row r="23" spans="2:29" x14ac:dyDescent="0.25">
      <c r="B23" s="16"/>
      <c r="E23" s="99"/>
      <c r="F23" s="99"/>
      <c r="G23" s="99"/>
      <c r="H23" s="99"/>
      <c r="I23" s="99"/>
      <c r="J23" s="99"/>
      <c r="K23" s="99"/>
      <c r="L23" s="99"/>
      <c r="M23" s="99"/>
      <c r="N23" s="99"/>
      <c r="O23" s="99"/>
      <c r="P23" s="99"/>
      <c r="Q23" s="99"/>
      <c r="R23" s="99"/>
      <c r="S23" s="99"/>
      <c r="T23" s="99"/>
      <c r="U23" s="99"/>
      <c r="V23" s="99"/>
      <c r="W23" s="99"/>
      <c r="X23" s="99"/>
      <c r="Y23" s="99"/>
      <c r="Z23" s="99"/>
      <c r="AA23" s="99"/>
      <c r="AB23" s="99"/>
      <c r="AC23" s="99"/>
    </row>
    <row r="24" spans="2:29" ht="16.5" thickBot="1" x14ac:dyDescent="0.3">
      <c r="B24" s="48" t="s">
        <v>278</v>
      </c>
      <c r="E24" s="99"/>
      <c r="F24" s="99"/>
      <c r="G24" s="99"/>
      <c r="H24" s="99"/>
      <c r="I24" s="99"/>
      <c r="J24" s="99"/>
      <c r="K24" s="99"/>
      <c r="L24" s="99"/>
      <c r="M24" s="99"/>
      <c r="N24" s="99"/>
      <c r="O24" s="99"/>
      <c r="P24" s="99"/>
      <c r="Q24" s="99"/>
      <c r="R24" s="99"/>
      <c r="S24" s="99"/>
      <c r="T24" s="99"/>
      <c r="U24" s="99"/>
      <c r="V24" s="99"/>
      <c r="W24" s="99"/>
      <c r="X24" s="99"/>
      <c r="Y24" s="99"/>
      <c r="Z24" s="99"/>
      <c r="AA24" s="99"/>
      <c r="AB24" s="99"/>
      <c r="AC24" s="99"/>
    </row>
    <row r="25" spans="2:29" x14ac:dyDescent="0.25">
      <c r="B25" s="174"/>
      <c r="C25" s="175"/>
      <c r="D25" s="61">
        <v>2025</v>
      </c>
      <c r="E25" s="61">
        <v>2026</v>
      </c>
      <c r="F25" s="61">
        <v>2027</v>
      </c>
      <c r="G25" s="61">
        <v>2028</v>
      </c>
      <c r="H25" s="61">
        <v>2029</v>
      </c>
      <c r="I25" s="61">
        <v>2030</v>
      </c>
      <c r="J25" s="61">
        <v>2031</v>
      </c>
      <c r="K25" s="61">
        <v>2032</v>
      </c>
      <c r="L25" s="61">
        <v>2033</v>
      </c>
      <c r="M25" s="61">
        <v>2034</v>
      </c>
      <c r="N25" s="61">
        <v>2035</v>
      </c>
      <c r="O25" s="61">
        <v>2036</v>
      </c>
      <c r="P25" s="61">
        <v>2037</v>
      </c>
      <c r="Q25" s="61">
        <v>2038</v>
      </c>
      <c r="R25" s="61">
        <v>2039</v>
      </c>
      <c r="S25" s="61">
        <v>2040</v>
      </c>
      <c r="T25" s="61">
        <v>2041</v>
      </c>
      <c r="U25" s="61">
        <v>2042</v>
      </c>
      <c r="V25" s="61">
        <v>2043</v>
      </c>
      <c r="W25" s="61">
        <v>2044</v>
      </c>
      <c r="X25" s="61">
        <v>2045</v>
      </c>
      <c r="Y25" s="61">
        <v>2046</v>
      </c>
      <c r="Z25" s="61">
        <v>2047</v>
      </c>
      <c r="AA25" s="61">
        <v>2048</v>
      </c>
      <c r="AB25" s="61">
        <v>2049</v>
      </c>
      <c r="AC25" s="62">
        <v>2050</v>
      </c>
    </row>
    <row r="26" spans="2:29" x14ac:dyDescent="0.25">
      <c r="B26" s="168" t="s">
        <v>3</v>
      </c>
      <c r="C26" s="169"/>
      <c r="D26" s="1"/>
      <c r="E26" s="98">
        <f>E14*$C$99*453.6/1000000</f>
        <v>50265.58787042708</v>
      </c>
      <c r="F26" s="98">
        <f>F14*$C$99*453.6/1000000</f>
        <v>201062.35148170832</v>
      </c>
      <c r="G26" s="98">
        <f>G14*$C$99*453.6/1000000</f>
        <v>320443.12267397274</v>
      </c>
      <c r="H26" s="98">
        <f>H14*$C$99*453.6/1000000</f>
        <v>320443.12267397274</v>
      </c>
      <c r="I26" s="98">
        <f t="shared" ref="I26:W26" si="7">I14*$C$100*453.6/1000000</f>
        <v>217526.37790684937</v>
      </c>
      <c r="J26" s="98">
        <f t="shared" si="7"/>
        <v>217526.37790684937</v>
      </c>
      <c r="K26" s="98">
        <f t="shared" si="7"/>
        <v>217526.37790684937</v>
      </c>
      <c r="L26" s="98">
        <f t="shared" si="7"/>
        <v>217526.37790684937</v>
      </c>
      <c r="M26" s="98">
        <f t="shared" si="7"/>
        <v>217526.37790684937</v>
      </c>
      <c r="N26" s="98">
        <f t="shared" si="7"/>
        <v>217526.37790684937</v>
      </c>
      <c r="O26" s="98">
        <f t="shared" si="7"/>
        <v>217526.37790684937</v>
      </c>
      <c r="P26" s="98">
        <f t="shared" si="7"/>
        <v>217526.37790684937</v>
      </c>
      <c r="Q26" s="98">
        <f t="shared" si="7"/>
        <v>217526.37790684937</v>
      </c>
      <c r="R26" s="98">
        <f t="shared" si="7"/>
        <v>217526.37790684937</v>
      </c>
      <c r="S26" s="98">
        <f t="shared" si="7"/>
        <v>217526.37790684937</v>
      </c>
      <c r="T26" s="98">
        <f t="shared" si="7"/>
        <v>217526.37790684937</v>
      </c>
      <c r="U26" s="98">
        <f t="shared" si="7"/>
        <v>217526.37790684937</v>
      </c>
      <c r="V26" s="98">
        <f t="shared" si="7"/>
        <v>217526.37790684937</v>
      </c>
      <c r="W26" s="98">
        <f t="shared" si="7"/>
        <v>217526.37790684937</v>
      </c>
      <c r="X26" s="98">
        <f t="shared" ref="X26:AC26" si="8">X14*$C$101*453.6/1000000</f>
        <v>0</v>
      </c>
      <c r="Y26" s="98">
        <f t="shared" si="8"/>
        <v>0</v>
      </c>
      <c r="Z26" s="98">
        <f t="shared" si="8"/>
        <v>0</v>
      </c>
      <c r="AA26" s="98">
        <f t="shared" si="8"/>
        <v>0</v>
      </c>
      <c r="AB26" s="98">
        <f t="shared" si="8"/>
        <v>0</v>
      </c>
      <c r="AC26" s="108">
        <f t="shared" si="8"/>
        <v>0</v>
      </c>
    </row>
    <row r="27" spans="2:29" x14ac:dyDescent="0.25">
      <c r="B27" s="168" t="s">
        <v>5</v>
      </c>
      <c r="C27" s="169"/>
      <c r="D27" s="1"/>
      <c r="E27" s="100">
        <f>E14*$D$99*453.6/1000000</f>
        <v>3.0317001128122487</v>
      </c>
      <c r="F27" s="100">
        <f>F14*$D$99*453.6/1000000</f>
        <v>12.126800451248995</v>
      </c>
      <c r="G27" s="100">
        <f>G14*$D$99*453.6/1000000</f>
        <v>19.327088219178087</v>
      </c>
      <c r="H27" s="100">
        <f>H14*$D$99*453.6/1000000</f>
        <v>19.327088219178087</v>
      </c>
      <c r="I27" s="100">
        <f t="shared" ref="I27:W27" si="9">I14*$D$100*453.6/1000000</f>
        <v>19.327088219178087</v>
      </c>
      <c r="J27" s="100">
        <f t="shared" si="9"/>
        <v>19.327088219178087</v>
      </c>
      <c r="K27" s="100">
        <f t="shared" si="9"/>
        <v>19.327088219178087</v>
      </c>
      <c r="L27" s="100">
        <f t="shared" si="9"/>
        <v>19.327088219178087</v>
      </c>
      <c r="M27" s="100">
        <f t="shared" si="9"/>
        <v>19.327088219178087</v>
      </c>
      <c r="N27" s="100">
        <f t="shared" si="9"/>
        <v>19.327088219178087</v>
      </c>
      <c r="O27" s="100">
        <f t="shared" si="9"/>
        <v>19.327088219178087</v>
      </c>
      <c r="P27" s="100">
        <f t="shared" si="9"/>
        <v>19.327088219178087</v>
      </c>
      <c r="Q27" s="100">
        <f t="shared" si="9"/>
        <v>19.327088219178087</v>
      </c>
      <c r="R27" s="100">
        <f t="shared" si="9"/>
        <v>19.327088219178087</v>
      </c>
      <c r="S27" s="100">
        <f t="shared" si="9"/>
        <v>19.327088219178087</v>
      </c>
      <c r="T27" s="100">
        <f t="shared" si="9"/>
        <v>19.327088219178087</v>
      </c>
      <c r="U27" s="100">
        <f t="shared" si="9"/>
        <v>19.327088219178087</v>
      </c>
      <c r="V27" s="100">
        <f t="shared" si="9"/>
        <v>19.327088219178087</v>
      </c>
      <c r="W27" s="100">
        <f t="shared" si="9"/>
        <v>19.327088219178087</v>
      </c>
      <c r="X27" s="100">
        <f t="shared" ref="X27:AC27" si="10">X14*$D$101*453.6/1000000</f>
        <v>0</v>
      </c>
      <c r="Y27" s="100">
        <f t="shared" si="10"/>
        <v>0</v>
      </c>
      <c r="Z27" s="100">
        <f t="shared" si="10"/>
        <v>0</v>
      </c>
      <c r="AA27" s="100">
        <f t="shared" si="10"/>
        <v>0</v>
      </c>
      <c r="AB27" s="100">
        <f t="shared" si="10"/>
        <v>0</v>
      </c>
      <c r="AC27" s="112">
        <f t="shared" si="10"/>
        <v>0</v>
      </c>
    </row>
    <row r="28" spans="2:29" x14ac:dyDescent="0.25">
      <c r="B28" s="168" t="s">
        <v>279</v>
      </c>
      <c r="C28" s="169"/>
      <c r="D28" s="1"/>
      <c r="E28" s="100">
        <f>E14*$E$99*453.6/1000000</f>
        <v>0.40422668170829984</v>
      </c>
      <c r="F28" s="100">
        <f>F14*$E$99*453.6/1000000</f>
        <v>1.6169067268331994</v>
      </c>
      <c r="G28" s="100">
        <f>G14*$E$99*453.6/1000000</f>
        <v>2.5769450958904123</v>
      </c>
      <c r="H28" s="100">
        <f>H14*$E$99*453.6/1000000</f>
        <v>2.5769450958904123</v>
      </c>
      <c r="I28" s="100">
        <f t="shared" ref="I28:W28" si="11">I14*$E$100*453.6/1000000</f>
        <v>2.5769450958904123</v>
      </c>
      <c r="J28" s="100">
        <f t="shared" si="11"/>
        <v>2.5769450958904123</v>
      </c>
      <c r="K28" s="100">
        <f t="shared" si="11"/>
        <v>2.5769450958904123</v>
      </c>
      <c r="L28" s="100">
        <f t="shared" si="11"/>
        <v>2.5769450958904123</v>
      </c>
      <c r="M28" s="100">
        <f t="shared" si="11"/>
        <v>2.5769450958904123</v>
      </c>
      <c r="N28" s="100">
        <f t="shared" si="11"/>
        <v>2.5769450958904123</v>
      </c>
      <c r="O28" s="100">
        <f t="shared" si="11"/>
        <v>2.5769450958904123</v>
      </c>
      <c r="P28" s="100">
        <f t="shared" si="11"/>
        <v>2.5769450958904123</v>
      </c>
      <c r="Q28" s="100">
        <f t="shared" si="11"/>
        <v>2.5769450958904123</v>
      </c>
      <c r="R28" s="100">
        <f t="shared" si="11"/>
        <v>2.5769450958904123</v>
      </c>
      <c r="S28" s="100">
        <f t="shared" si="11"/>
        <v>2.5769450958904123</v>
      </c>
      <c r="T28" s="100">
        <f t="shared" si="11"/>
        <v>2.5769450958904123</v>
      </c>
      <c r="U28" s="100">
        <f t="shared" si="11"/>
        <v>2.5769450958904123</v>
      </c>
      <c r="V28" s="100">
        <f t="shared" si="11"/>
        <v>2.5769450958904123</v>
      </c>
      <c r="W28" s="100">
        <f t="shared" si="11"/>
        <v>2.5769450958904123</v>
      </c>
      <c r="X28" s="100">
        <f t="shared" ref="X28:AC28" si="12">X14*$E$101*453.6/1000000</f>
        <v>0</v>
      </c>
      <c r="Y28" s="100">
        <f t="shared" si="12"/>
        <v>0</v>
      </c>
      <c r="Z28" s="100">
        <f t="shared" si="12"/>
        <v>0</v>
      </c>
      <c r="AA28" s="100">
        <f t="shared" si="12"/>
        <v>0</v>
      </c>
      <c r="AB28" s="100">
        <f t="shared" si="12"/>
        <v>0</v>
      </c>
      <c r="AC28" s="112">
        <f t="shared" si="12"/>
        <v>0</v>
      </c>
    </row>
    <row r="29" spans="2:29" x14ac:dyDescent="0.25">
      <c r="B29" s="168" t="s">
        <v>280</v>
      </c>
      <c r="C29" s="169"/>
      <c r="D29" s="1"/>
      <c r="E29" s="98">
        <f t="shared" ref="E29:AC29" si="13">E26+E27*$D$109+E28*$E$109</f>
        <v>50457.595544238524</v>
      </c>
      <c r="F29" s="98">
        <f t="shared" si="13"/>
        <v>201830.3821769541</v>
      </c>
      <c r="G29" s="98">
        <f t="shared" si="13"/>
        <v>321667.17159452068</v>
      </c>
      <c r="H29" s="98">
        <f t="shared" si="13"/>
        <v>321667.17159452068</v>
      </c>
      <c r="I29" s="98">
        <f t="shared" si="13"/>
        <v>218750.42682739731</v>
      </c>
      <c r="J29" s="98">
        <f t="shared" si="13"/>
        <v>218750.42682739731</v>
      </c>
      <c r="K29" s="98">
        <f t="shared" si="13"/>
        <v>218750.42682739731</v>
      </c>
      <c r="L29" s="98">
        <f t="shared" si="13"/>
        <v>218750.42682739731</v>
      </c>
      <c r="M29" s="98">
        <f t="shared" si="13"/>
        <v>218750.42682739731</v>
      </c>
      <c r="N29" s="98">
        <f t="shared" si="13"/>
        <v>218750.42682739731</v>
      </c>
      <c r="O29" s="98">
        <f t="shared" si="13"/>
        <v>218750.42682739731</v>
      </c>
      <c r="P29" s="98">
        <f t="shared" si="13"/>
        <v>218750.42682739731</v>
      </c>
      <c r="Q29" s="98">
        <f t="shared" si="13"/>
        <v>218750.42682739731</v>
      </c>
      <c r="R29" s="98">
        <f t="shared" si="13"/>
        <v>218750.42682739731</v>
      </c>
      <c r="S29" s="98">
        <f t="shared" si="13"/>
        <v>218750.42682739731</v>
      </c>
      <c r="T29" s="98">
        <f t="shared" si="13"/>
        <v>218750.42682739731</v>
      </c>
      <c r="U29" s="98">
        <f t="shared" si="13"/>
        <v>218750.42682739731</v>
      </c>
      <c r="V29" s="98">
        <f t="shared" si="13"/>
        <v>218750.42682739731</v>
      </c>
      <c r="W29" s="98">
        <f t="shared" si="13"/>
        <v>218750.42682739731</v>
      </c>
      <c r="X29" s="98">
        <f t="shared" si="13"/>
        <v>0</v>
      </c>
      <c r="Y29" s="98">
        <f t="shared" si="13"/>
        <v>0</v>
      </c>
      <c r="Z29" s="98">
        <f t="shared" si="13"/>
        <v>0</v>
      </c>
      <c r="AA29" s="98">
        <f t="shared" si="13"/>
        <v>0</v>
      </c>
      <c r="AB29" s="98">
        <f t="shared" si="13"/>
        <v>0</v>
      </c>
      <c r="AC29" s="108">
        <f t="shared" si="13"/>
        <v>0</v>
      </c>
    </row>
    <row r="30" spans="2:29" x14ac:dyDescent="0.25">
      <c r="B30" s="168" t="s">
        <v>7</v>
      </c>
      <c r="C30" s="169"/>
      <c r="D30" s="1"/>
      <c r="E30" s="98">
        <f>E29</f>
        <v>50457.595544238524</v>
      </c>
      <c r="F30" s="98">
        <f>E30+F29</f>
        <v>252287.97772119261</v>
      </c>
      <c r="G30" s="98">
        <f t="shared" ref="G30:AC30" si="14">F30+G29</f>
        <v>573955.14931571332</v>
      </c>
      <c r="H30" s="98">
        <f t="shared" si="14"/>
        <v>895622.320910234</v>
      </c>
      <c r="I30" s="98">
        <f t="shared" si="14"/>
        <v>1114372.7477376312</v>
      </c>
      <c r="J30" s="98">
        <f t="shared" si="14"/>
        <v>1333123.1745650284</v>
      </c>
      <c r="K30" s="98">
        <f t="shared" si="14"/>
        <v>1551873.6013924256</v>
      </c>
      <c r="L30" s="98">
        <f t="shared" si="14"/>
        <v>1770624.0282198228</v>
      </c>
      <c r="M30" s="98">
        <f t="shared" si="14"/>
        <v>1989374.45504722</v>
      </c>
      <c r="N30" s="98">
        <f t="shared" si="14"/>
        <v>2208124.8818746172</v>
      </c>
      <c r="O30" s="98">
        <f t="shared" si="14"/>
        <v>2426875.3087020144</v>
      </c>
      <c r="P30" s="98">
        <f t="shared" si="14"/>
        <v>2645625.7355294116</v>
      </c>
      <c r="Q30" s="98">
        <f t="shared" si="14"/>
        <v>2864376.1623568088</v>
      </c>
      <c r="R30" s="98">
        <f t="shared" si="14"/>
        <v>3083126.589184206</v>
      </c>
      <c r="S30" s="98">
        <f t="shared" si="14"/>
        <v>3301877.0160116032</v>
      </c>
      <c r="T30" s="98">
        <f t="shared" si="14"/>
        <v>3520627.4428390004</v>
      </c>
      <c r="U30" s="98">
        <f t="shared" si="14"/>
        <v>3739377.8696663976</v>
      </c>
      <c r="V30" s="98">
        <f t="shared" si="14"/>
        <v>3958128.2964937948</v>
      </c>
      <c r="W30" s="98">
        <f t="shared" si="14"/>
        <v>4176878.723321192</v>
      </c>
      <c r="X30" s="98">
        <f t="shared" si="14"/>
        <v>4176878.723321192</v>
      </c>
      <c r="Y30" s="98">
        <f t="shared" si="14"/>
        <v>4176878.723321192</v>
      </c>
      <c r="Z30" s="98">
        <f t="shared" si="14"/>
        <v>4176878.723321192</v>
      </c>
      <c r="AA30" s="98">
        <f t="shared" si="14"/>
        <v>4176878.723321192</v>
      </c>
      <c r="AB30" s="98">
        <f t="shared" si="14"/>
        <v>4176878.723321192</v>
      </c>
      <c r="AC30" s="108">
        <f t="shared" si="14"/>
        <v>4176878.723321192</v>
      </c>
    </row>
    <row r="31" spans="2:29" ht="15.75" thickBot="1" x14ac:dyDescent="0.3">
      <c r="B31" s="170" t="s">
        <v>301</v>
      </c>
      <c r="C31" s="171"/>
      <c r="D31" s="29">
        <f ca="1">IF((D25-$D25)&lt;$C$131,SUM($D29:D29),SUM(OFFSET(D29,0,-($C131-1)):D29))</f>
        <v>0</v>
      </c>
      <c r="E31" s="29">
        <f ca="1">IF((E25-$D25)&lt;$C$131,SUM($D29:E29),SUM(OFFSET(E29,0,-($C131-1)):E29))</f>
        <v>50457.595544238524</v>
      </c>
      <c r="F31" s="29">
        <f ca="1">IF((F25-$D25)&lt;$C$131,SUM($D29:F29),SUM(OFFSET(F29,0,-($C131-1)):F29))</f>
        <v>252287.97772119261</v>
      </c>
      <c r="G31" s="29">
        <f ca="1">IF((G25-$D25)&lt;$C$131,SUM($D29:G29),SUM(OFFSET(G29,0,-($C131-1)):G29))</f>
        <v>573955.14931571332</v>
      </c>
      <c r="H31" s="29">
        <f ca="1">IF((H25-$D25)&lt;$C$131,SUM($D29:H29),SUM(OFFSET(H29,0,-($C131-1)):H29))</f>
        <v>895622.320910234</v>
      </c>
      <c r="I31" s="29">
        <f ca="1">IF((I25-$D25)&lt;$C$131,SUM($D29:I29),SUM(OFFSET(I29,0,-($C131-1)):I29))</f>
        <v>1114372.7477376312</v>
      </c>
      <c r="J31" s="29">
        <f ca="1">IF((J25-$D25)&lt;$C$131,SUM($D29:J29),SUM(OFFSET(J29,0,-($C131-1)):J29))</f>
        <v>1333123.1745650284</v>
      </c>
      <c r="K31" s="29">
        <f ca="1">IF((K25-$D25)&lt;$C$131,SUM($D29:K29),SUM(OFFSET(K29,0,-($C131-1)):K29))</f>
        <v>1551873.6013924256</v>
      </c>
      <c r="L31" s="29">
        <f ca="1">IF((L25-$D25)&lt;$C$131,SUM($D29:L29),SUM(OFFSET(L29,0,-($C131-1)):L29))</f>
        <v>1770624.0282198228</v>
      </c>
      <c r="M31" s="29">
        <f ca="1">IF((M25-$D25)&lt;$C$131,SUM($D29:M29),SUM(OFFSET(M29,0,-($C131-1)):M29))</f>
        <v>1989374.45504722</v>
      </c>
      <c r="N31" s="29">
        <f ca="1">IF((N25-$D25)&lt;$C$131,SUM($D29:N29),SUM(OFFSET(N29,0,-($C131-1)):N29))</f>
        <v>2208124.8818746172</v>
      </c>
      <c r="O31" s="29">
        <f ca="1">IF((O25-$D25)&lt;$C$131,SUM($D29:O29),SUM(OFFSET(O29,0,-($C131-1)):O29))</f>
        <v>2376417.7131577758</v>
      </c>
      <c r="P31" s="29">
        <f ca="1">IF((P25-$D25)&lt;$C$131,SUM($D29:P29),SUM(OFFSET(P29,0,-($C131-1)):P29))</f>
        <v>2393337.7578082192</v>
      </c>
      <c r="Q31" s="29">
        <f ca="1">IF((Q25-$D25)&lt;$C$131,SUM($D29:Q29),SUM(OFFSET(Q29,0,-($C131-1)):Q29))</f>
        <v>2290421.0130410958</v>
      </c>
      <c r="R31" s="29">
        <f ca="1">IF((R25-$D25)&lt;$C$131,SUM($D29:R29),SUM(OFFSET(R29,0,-($C131-1)):R29))</f>
        <v>2187504.2682739724</v>
      </c>
      <c r="S31" s="29">
        <f ca="1">IF((S25-$D25)&lt;$C$131,SUM($D29:S29),SUM(OFFSET(S29,0,-($C131-1)):S29))</f>
        <v>2187504.2682739724</v>
      </c>
      <c r="T31" s="29">
        <f ca="1">IF((T25-$D25)&lt;$C$131,SUM($D29:T29),SUM(OFFSET(T29,0,-($C131-1)):T29))</f>
        <v>2187504.2682739724</v>
      </c>
      <c r="U31" s="29">
        <f ca="1">IF((U25-$D25)&lt;$C$131,SUM($D29:U29),SUM(OFFSET(U29,0,-($C131-1)):U29))</f>
        <v>2187504.2682739724</v>
      </c>
      <c r="V31" s="29">
        <f ca="1">IF((V25-$D25)&lt;$C$131,SUM($D29:V29),SUM(OFFSET(V29,0,-($C131-1)):V29))</f>
        <v>2187504.2682739724</v>
      </c>
      <c r="W31" s="29">
        <f ca="1">IF((W25-$D25)&lt;$C$131,SUM($D29:W29),SUM(OFFSET(W29,0,-($C131-1)):W29))</f>
        <v>2187504.2682739724</v>
      </c>
      <c r="X31" s="29">
        <f ca="1">IF((X25-$D25)&lt;$C$131,SUM($D29:X29),SUM(OFFSET(X29,0,-($C131-1)):X29))</f>
        <v>1968753.8414465752</v>
      </c>
      <c r="Y31" s="29">
        <f ca="1">IF((Y25-$D25)&lt;$C$131,SUM($D29:Y29),SUM(OFFSET(Y29,0,-($C131-1)):Y29))</f>
        <v>1750003.414619178</v>
      </c>
      <c r="Z31" s="29">
        <f ca="1">IF((Z25-$D25)&lt;$C$131,SUM($D29:Z29),SUM(OFFSET(Z29,0,-($C131-1)):Z29))</f>
        <v>1531252.9877917808</v>
      </c>
      <c r="AA31" s="29">
        <f ca="1">IF((AA25-$D25)&lt;$C$131,SUM($D29:AA29),SUM(OFFSET(AA29,0,-($C131-1)):AA29))</f>
        <v>1312502.5609643837</v>
      </c>
      <c r="AB31" s="29">
        <f ca="1">IF((AB25-$D25)&lt;$C$131,SUM($D29:AB29),SUM(OFFSET(AB29,0,-($C131-1)):AB29))</f>
        <v>1093752.1341369865</v>
      </c>
      <c r="AC31" s="30">
        <f ca="1">IF((AC25-$D25)&lt;$C$131,SUM($D29:AC29),SUM(OFFSET(AC29,0,-($C131-1)):AC29))</f>
        <v>875001.70730958926</v>
      </c>
    </row>
    <row r="32" spans="2:29" x14ac:dyDescent="0.25">
      <c r="E32" s="99"/>
      <c r="F32" s="99"/>
      <c r="G32" s="99"/>
      <c r="H32" s="99"/>
      <c r="I32" s="99"/>
      <c r="J32" s="99"/>
      <c r="K32" s="99"/>
      <c r="L32" s="99"/>
      <c r="M32" s="99"/>
      <c r="N32" s="99"/>
      <c r="O32" s="99"/>
      <c r="P32" s="99"/>
      <c r="Q32" s="99"/>
      <c r="R32" s="99"/>
      <c r="S32" s="99"/>
      <c r="T32" s="99"/>
      <c r="U32" s="99"/>
      <c r="V32" s="99"/>
      <c r="W32" s="99"/>
      <c r="X32" s="99"/>
      <c r="Y32" s="99"/>
      <c r="Z32" s="99"/>
      <c r="AA32" s="99"/>
      <c r="AB32" s="99"/>
      <c r="AC32" s="99"/>
    </row>
    <row r="33" spans="2:29" x14ac:dyDescent="0.25">
      <c r="E33" s="99"/>
      <c r="F33" s="99"/>
      <c r="G33" s="99"/>
      <c r="H33" s="99"/>
      <c r="I33" s="99"/>
      <c r="J33" s="99"/>
      <c r="K33" s="99"/>
      <c r="L33" s="99"/>
      <c r="M33" s="99"/>
      <c r="N33" s="99"/>
      <c r="O33" s="99"/>
      <c r="P33" s="99"/>
      <c r="Q33" s="99"/>
      <c r="R33" s="99"/>
      <c r="S33" s="99"/>
      <c r="T33" s="99"/>
      <c r="U33" s="99"/>
      <c r="V33" s="99"/>
      <c r="W33" s="99"/>
      <c r="X33" s="99"/>
      <c r="Y33" s="99"/>
      <c r="Z33" s="99"/>
      <c r="AA33" s="99"/>
      <c r="AB33" s="99"/>
      <c r="AC33" s="99"/>
    </row>
    <row r="34" spans="2:29" ht="16.5" thickBot="1" x14ac:dyDescent="0.3">
      <c r="B34" s="48" t="s">
        <v>281</v>
      </c>
      <c r="E34" s="99"/>
      <c r="F34" s="99"/>
      <c r="G34" s="99"/>
      <c r="H34" s="99"/>
      <c r="I34" s="99"/>
      <c r="J34" s="99"/>
      <c r="K34" s="99"/>
      <c r="L34" s="99"/>
      <c r="M34" s="99"/>
      <c r="N34" s="99"/>
      <c r="O34" s="99"/>
      <c r="P34" s="99"/>
      <c r="Q34" s="99"/>
      <c r="R34" s="99"/>
      <c r="S34" s="99"/>
      <c r="T34" s="99"/>
      <c r="U34" s="99"/>
      <c r="V34" s="99"/>
      <c r="W34" s="99"/>
      <c r="X34" s="99"/>
      <c r="Y34" s="99"/>
      <c r="Z34" s="99"/>
      <c r="AA34" s="99"/>
      <c r="AB34" s="99"/>
      <c r="AC34" s="99"/>
    </row>
    <row r="35" spans="2:29" ht="15.75" x14ac:dyDescent="0.25">
      <c r="B35" s="176"/>
      <c r="C35" s="177"/>
      <c r="D35" s="61">
        <v>2025</v>
      </c>
      <c r="E35" s="61">
        <v>2026</v>
      </c>
      <c r="F35" s="61">
        <v>2027</v>
      </c>
      <c r="G35" s="61">
        <v>2028</v>
      </c>
      <c r="H35" s="61">
        <v>2029</v>
      </c>
      <c r="I35" s="61">
        <v>2030</v>
      </c>
      <c r="J35" s="61">
        <v>2031</v>
      </c>
      <c r="K35" s="61">
        <v>2032</v>
      </c>
      <c r="L35" s="61">
        <v>2033</v>
      </c>
      <c r="M35" s="61">
        <v>2034</v>
      </c>
      <c r="N35" s="61">
        <v>2035</v>
      </c>
      <c r="O35" s="61">
        <v>2036</v>
      </c>
      <c r="P35" s="61">
        <v>2037</v>
      </c>
      <c r="Q35" s="61">
        <v>2038</v>
      </c>
      <c r="R35" s="61">
        <v>2039</v>
      </c>
      <c r="S35" s="61">
        <v>2040</v>
      </c>
      <c r="T35" s="61">
        <v>2041</v>
      </c>
      <c r="U35" s="61">
        <v>2042</v>
      </c>
      <c r="V35" s="61">
        <v>2043</v>
      </c>
      <c r="W35" s="61">
        <v>2044</v>
      </c>
      <c r="X35" s="61">
        <v>2045</v>
      </c>
      <c r="Y35" s="61">
        <v>2046</v>
      </c>
      <c r="Z35" s="61">
        <v>2047</v>
      </c>
      <c r="AA35" s="61">
        <v>2048</v>
      </c>
      <c r="AB35" s="61">
        <v>2049</v>
      </c>
      <c r="AC35" s="62">
        <v>2050</v>
      </c>
    </row>
    <row r="36" spans="2:29" x14ac:dyDescent="0.25">
      <c r="B36" s="168" t="s">
        <v>3</v>
      </c>
      <c r="C36" s="169"/>
      <c r="D36" s="1"/>
      <c r="E36" s="98">
        <f>(E13*D74+E15*D77*312)/1000000</f>
        <v>146018.26078154589</v>
      </c>
      <c r="F36" s="98">
        <f>(F13*E74+F15*E77*312)/1000000</f>
        <v>584653.47830983705</v>
      </c>
      <c r="G36" s="98">
        <f>(G13*F74+G15*F77*312)/1000000</f>
        <v>932493.6821898066</v>
      </c>
      <c r="H36" s="98">
        <f>(H13*G74+H15*G77*312)/1000000</f>
        <v>933446.41518405813</v>
      </c>
      <c r="I36" s="98">
        <f>(I13*$H$74+I15*$H$77*312)/1000000</f>
        <v>934283.68691513268</v>
      </c>
      <c r="J36" s="98">
        <f t="shared" ref="J36:AC36" si="15">(J13*$H$74+J15*$H$77*312)/1000000</f>
        <v>934283.68691513268</v>
      </c>
      <c r="K36" s="98">
        <f t="shared" si="15"/>
        <v>934283.68691513268</v>
      </c>
      <c r="L36" s="98">
        <f t="shared" si="15"/>
        <v>934283.68691513268</v>
      </c>
      <c r="M36" s="98">
        <f t="shared" si="15"/>
        <v>934283.68691513268</v>
      </c>
      <c r="N36" s="98">
        <f t="shared" si="15"/>
        <v>934283.68691513268</v>
      </c>
      <c r="O36" s="98">
        <f t="shared" si="15"/>
        <v>934283.68691513268</v>
      </c>
      <c r="P36" s="98">
        <f t="shared" si="15"/>
        <v>934283.68691513268</v>
      </c>
      <c r="Q36" s="98">
        <f t="shared" si="15"/>
        <v>934283.68691513268</v>
      </c>
      <c r="R36" s="98">
        <f t="shared" si="15"/>
        <v>934283.68691513268</v>
      </c>
      <c r="S36" s="98">
        <f t="shared" si="15"/>
        <v>934283.68691513268</v>
      </c>
      <c r="T36" s="98">
        <f t="shared" si="15"/>
        <v>934283.68691513268</v>
      </c>
      <c r="U36" s="98">
        <f t="shared" si="15"/>
        <v>934283.68691513268</v>
      </c>
      <c r="V36" s="98">
        <f t="shared" si="15"/>
        <v>934283.68691513268</v>
      </c>
      <c r="W36" s="98">
        <f t="shared" si="15"/>
        <v>934283.68691513268</v>
      </c>
      <c r="X36" s="98">
        <f t="shared" si="15"/>
        <v>934283.68691513268</v>
      </c>
      <c r="Y36" s="98">
        <f t="shared" si="15"/>
        <v>934283.68691513268</v>
      </c>
      <c r="Z36" s="98">
        <f t="shared" si="15"/>
        <v>934283.68691513268</v>
      </c>
      <c r="AA36" s="98">
        <f t="shared" si="15"/>
        <v>934283.68691513268</v>
      </c>
      <c r="AB36" s="98">
        <f t="shared" si="15"/>
        <v>934283.68691513268</v>
      </c>
      <c r="AC36" s="108">
        <f t="shared" si="15"/>
        <v>934283.68691513268</v>
      </c>
    </row>
    <row r="37" spans="2:29" x14ac:dyDescent="0.25">
      <c r="B37" s="168" t="s">
        <v>5</v>
      </c>
      <c r="C37" s="169"/>
      <c r="D37" s="1"/>
      <c r="E37" s="100">
        <f>(E13*D75+E15*D78*312)/1000000</f>
        <v>0.16167321886617811</v>
      </c>
      <c r="F37" s="100">
        <f>(F13*E75+F15*E78*312)/1000000</f>
        <v>0.6430734872758106</v>
      </c>
      <c r="G37" s="100">
        <f>(G13*F75+G15*F78*312)/1000000</f>
        <v>1.0167543084464135</v>
      </c>
      <c r="H37" s="100">
        <f>(H13*G75+H15*G78*312)/1000000</f>
        <v>1.0108580615402114</v>
      </c>
      <c r="I37" s="100">
        <f>(I13*$H$75+I15*$H$78*312)/1000000</f>
        <v>1.0094450804172117</v>
      </c>
      <c r="J37" s="100">
        <f t="shared" ref="J37:AC37" si="16">(J13*$H$75+J15*$H$78*312)/1000000</f>
        <v>1.0094450804172117</v>
      </c>
      <c r="K37" s="100">
        <f t="shared" si="16"/>
        <v>1.0094450804172117</v>
      </c>
      <c r="L37" s="100">
        <f t="shared" si="16"/>
        <v>1.0094450804172117</v>
      </c>
      <c r="M37" s="100">
        <f t="shared" si="16"/>
        <v>1.0094450804172117</v>
      </c>
      <c r="N37" s="100">
        <f t="shared" si="16"/>
        <v>1.0094450804172117</v>
      </c>
      <c r="O37" s="100">
        <f t="shared" si="16"/>
        <v>1.0094450804172117</v>
      </c>
      <c r="P37" s="100">
        <f t="shared" si="16"/>
        <v>1.0094450804172117</v>
      </c>
      <c r="Q37" s="100">
        <f t="shared" si="16"/>
        <v>1.0094450804172117</v>
      </c>
      <c r="R37" s="100">
        <f t="shared" si="16"/>
        <v>1.0094450804172117</v>
      </c>
      <c r="S37" s="100">
        <f t="shared" si="16"/>
        <v>1.0094450804172117</v>
      </c>
      <c r="T37" s="100">
        <f t="shared" si="16"/>
        <v>1.0094450804172117</v>
      </c>
      <c r="U37" s="100">
        <f t="shared" si="16"/>
        <v>1.0094450804172117</v>
      </c>
      <c r="V37" s="100">
        <f t="shared" si="16"/>
        <v>1.0094450804172117</v>
      </c>
      <c r="W37" s="100">
        <f t="shared" si="16"/>
        <v>1.0094450804172117</v>
      </c>
      <c r="X37" s="100">
        <f t="shared" si="16"/>
        <v>1.0094450804172117</v>
      </c>
      <c r="Y37" s="100">
        <f t="shared" si="16"/>
        <v>1.0094450804172117</v>
      </c>
      <c r="Z37" s="100">
        <f t="shared" si="16"/>
        <v>1.0094450804172117</v>
      </c>
      <c r="AA37" s="100">
        <f t="shared" si="16"/>
        <v>1.0094450804172117</v>
      </c>
      <c r="AB37" s="100">
        <f t="shared" si="16"/>
        <v>1.0094450804172117</v>
      </c>
      <c r="AC37" s="112">
        <f t="shared" si="16"/>
        <v>1.0094450804172117</v>
      </c>
    </row>
    <row r="38" spans="2:29" x14ac:dyDescent="0.25">
      <c r="B38" s="168" t="s">
        <v>279</v>
      </c>
      <c r="C38" s="169"/>
      <c r="D38" s="1"/>
      <c r="E38" s="100">
        <f>(E13*D76+E15*D79*312)/1000000</f>
        <v>23.005236450484475</v>
      </c>
      <c r="F38" s="100">
        <f>(F13*E76+F15*E79*312)/1000000</f>
        <v>92.112393601498553</v>
      </c>
      <c r="G38" s="100">
        <f>(G13*F76+G15*F79*312)/1000000</f>
        <v>146.91475937693573</v>
      </c>
      <c r="H38" s="100">
        <f>(H13*G76+H15*G79*312)/1000000</f>
        <v>147.06486284817032</v>
      </c>
      <c r="I38" s="100">
        <f>(I13*$H$76+I15*$H$79*312)/1000000</f>
        <v>147.19677535037101</v>
      </c>
      <c r="J38" s="100">
        <f t="shared" ref="J38:AC38" si="17">(J13*$H$76+J15*$H$79*312)/1000000</f>
        <v>147.19677535037101</v>
      </c>
      <c r="K38" s="100">
        <f t="shared" si="17"/>
        <v>147.19677535037101</v>
      </c>
      <c r="L38" s="100">
        <f t="shared" si="17"/>
        <v>147.19677535037101</v>
      </c>
      <c r="M38" s="100">
        <f t="shared" si="17"/>
        <v>147.19677535037101</v>
      </c>
      <c r="N38" s="100">
        <f t="shared" si="17"/>
        <v>147.19677535037101</v>
      </c>
      <c r="O38" s="100">
        <f t="shared" si="17"/>
        <v>147.19677535037101</v>
      </c>
      <c r="P38" s="100">
        <f t="shared" si="17"/>
        <v>147.19677535037101</v>
      </c>
      <c r="Q38" s="100">
        <f t="shared" si="17"/>
        <v>147.19677535037101</v>
      </c>
      <c r="R38" s="100">
        <f t="shared" si="17"/>
        <v>147.19677535037101</v>
      </c>
      <c r="S38" s="100">
        <f t="shared" si="17"/>
        <v>147.19677535037101</v>
      </c>
      <c r="T38" s="100">
        <f t="shared" si="17"/>
        <v>147.19677535037101</v>
      </c>
      <c r="U38" s="100">
        <f t="shared" si="17"/>
        <v>147.19677535037101</v>
      </c>
      <c r="V38" s="100">
        <f t="shared" si="17"/>
        <v>147.19677535037101</v>
      </c>
      <c r="W38" s="100">
        <f t="shared" si="17"/>
        <v>147.19677535037101</v>
      </c>
      <c r="X38" s="100">
        <f t="shared" si="17"/>
        <v>147.19677535037101</v>
      </c>
      <c r="Y38" s="100">
        <f t="shared" si="17"/>
        <v>147.19677535037101</v>
      </c>
      <c r="Z38" s="100">
        <f t="shared" si="17"/>
        <v>147.19677535037101</v>
      </c>
      <c r="AA38" s="100">
        <f t="shared" si="17"/>
        <v>147.19677535037101</v>
      </c>
      <c r="AB38" s="100">
        <f t="shared" si="17"/>
        <v>147.19677535037101</v>
      </c>
      <c r="AC38" s="112">
        <f t="shared" si="17"/>
        <v>147.19677535037101</v>
      </c>
    </row>
    <row r="39" spans="2:29" x14ac:dyDescent="0.25">
      <c r="B39" s="168" t="s">
        <v>280</v>
      </c>
      <c r="C39" s="169"/>
      <c r="D39" s="1"/>
      <c r="E39" s="98">
        <f t="shared" ref="E39:AC39" si="18">E36+E37*$D$109+E38*$E$109</f>
        <v>152119.17529105252</v>
      </c>
      <c r="F39" s="98">
        <f t="shared" si="18"/>
        <v>609081.2686718778</v>
      </c>
      <c r="G39" s="98">
        <f t="shared" si="18"/>
        <v>971454.56254533108</v>
      </c>
      <c r="H39" s="98">
        <f t="shared" si="18"/>
        <v>972446.9078645464</v>
      </c>
      <c r="I39" s="98">
        <f t="shared" si="18"/>
        <v>973319.09684523265</v>
      </c>
      <c r="J39" s="98">
        <f t="shared" si="18"/>
        <v>973319.09684523265</v>
      </c>
      <c r="K39" s="98">
        <f t="shared" si="18"/>
        <v>973319.09684523265</v>
      </c>
      <c r="L39" s="98">
        <f t="shared" si="18"/>
        <v>973319.09684523265</v>
      </c>
      <c r="M39" s="98">
        <f t="shared" si="18"/>
        <v>973319.09684523265</v>
      </c>
      <c r="N39" s="98">
        <f t="shared" si="18"/>
        <v>973319.09684523265</v>
      </c>
      <c r="O39" s="98">
        <f t="shared" si="18"/>
        <v>973319.09684523265</v>
      </c>
      <c r="P39" s="98">
        <f t="shared" si="18"/>
        <v>973319.09684523265</v>
      </c>
      <c r="Q39" s="98">
        <f t="shared" si="18"/>
        <v>973319.09684523265</v>
      </c>
      <c r="R39" s="98">
        <f t="shared" si="18"/>
        <v>973319.09684523265</v>
      </c>
      <c r="S39" s="98">
        <f t="shared" si="18"/>
        <v>973319.09684523265</v>
      </c>
      <c r="T39" s="98">
        <f t="shared" si="18"/>
        <v>973319.09684523265</v>
      </c>
      <c r="U39" s="98">
        <f t="shared" si="18"/>
        <v>973319.09684523265</v>
      </c>
      <c r="V39" s="98">
        <f t="shared" si="18"/>
        <v>973319.09684523265</v>
      </c>
      <c r="W39" s="98">
        <f t="shared" si="18"/>
        <v>973319.09684523265</v>
      </c>
      <c r="X39" s="98">
        <f t="shared" si="18"/>
        <v>973319.09684523265</v>
      </c>
      <c r="Y39" s="98">
        <f t="shared" si="18"/>
        <v>973319.09684523265</v>
      </c>
      <c r="Z39" s="98">
        <f t="shared" si="18"/>
        <v>973319.09684523265</v>
      </c>
      <c r="AA39" s="98">
        <f t="shared" si="18"/>
        <v>973319.09684523265</v>
      </c>
      <c r="AB39" s="98">
        <f t="shared" si="18"/>
        <v>973319.09684523265</v>
      </c>
      <c r="AC39" s="108">
        <f t="shared" si="18"/>
        <v>973319.09684523265</v>
      </c>
    </row>
    <row r="40" spans="2:29" x14ac:dyDescent="0.25">
      <c r="B40" s="168" t="s">
        <v>7</v>
      </c>
      <c r="C40" s="169"/>
      <c r="D40" s="1"/>
      <c r="E40" s="98">
        <f>E39</f>
        <v>152119.17529105252</v>
      </c>
      <c r="F40" s="98">
        <f>E40+F39</f>
        <v>761200.44396293035</v>
      </c>
      <c r="G40" s="98">
        <f t="shared" ref="G40:AC40" si="19">F40+G39</f>
        <v>1732655.0065082614</v>
      </c>
      <c r="H40" s="98">
        <f t="shared" si="19"/>
        <v>2705101.9143728078</v>
      </c>
      <c r="I40" s="98">
        <f t="shared" si="19"/>
        <v>3678421.0112180403</v>
      </c>
      <c r="J40" s="98">
        <f t="shared" si="19"/>
        <v>4651740.1080632731</v>
      </c>
      <c r="K40" s="98">
        <f t="shared" si="19"/>
        <v>5625059.204908506</v>
      </c>
      <c r="L40" s="98">
        <f t="shared" si="19"/>
        <v>6598378.3017537389</v>
      </c>
      <c r="M40" s="98">
        <f t="shared" si="19"/>
        <v>7571697.3985989718</v>
      </c>
      <c r="N40" s="98">
        <f t="shared" si="19"/>
        <v>8545016.4954442047</v>
      </c>
      <c r="O40" s="98">
        <f t="shared" si="19"/>
        <v>9518335.5922894366</v>
      </c>
      <c r="P40" s="98">
        <f t="shared" si="19"/>
        <v>10491654.689134669</v>
      </c>
      <c r="Q40" s="98">
        <f t="shared" si="19"/>
        <v>11464973.785979901</v>
      </c>
      <c r="R40" s="98">
        <f t="shared" si="19"/>
        <v>12438292.882825132</v>
      </c>
      <c r="S40" s="98">
        <f t="shared" si="19"/>
        <v>13411611.979670364</v>
      </c>
      <c r="T40" s="98">
        <f t="shared" si="19"/>
        <v>14384931.076515596</v>
      </c>
      <c r="U40" s="98">
        <f t="shared" si="19"/>
        <v>15358250.173360828</v>
      </c>
      <c r="V40" s="98">
        <f t="shared" si="19"/>
        <v>16331569.27020606</v>
      </c>
      <c r="W40" s="98">
        <f t="shared" si="19"/>
        <v>17304888.367051292</v>
      </c>
      <c r="X40" s="98">
        <f t="shared" si="19"/>
        <v>18278207.463896524</v>
      </c>
      <c r="Y40" s="98">
        <f t="shared" si="19"/>
        <v>19251526.560741756</v>
      </c>
      <c r="Z40" s="98">
        <f t="shared" si="19"/>
        <v>20224845.657586988</v>
      </c>
      <c r="AA40" s="98">
        <f t="shared" si="19"/>
        <v>21198164.75443222</v>
      </c>
      <c r="AB40" s="98">
        <f t="shared" si="19"/>
        <v>22171483.851277452</v>
      </c>
      <c r="AC40" s="108">
        <f t="shared" si="19"/>
        <v>23144802.948122684</v>
      </c>
    </row>
    <row r="41" spans="2:29" ht="15.75" thickBot="1" x14ac:dyDescent="0.3">
      <c r="B41" s="170" t="s">
        <v>301</v>
      </c>
      <c r="C41" s="171"/>
      <c r="D41" s="29">
        <f ca="1">IF((D35-$D35)&lt;$C$131,SUM($D39:D39),SUM(OFFSET(D39,0,-($C131-1)):D39))</f>
        <v>0</v>
      </c>
      <c r="E41" s="29">
        <f ca="1">IF((E35-$D35)&lt;$C$131,SUM($D39:E39),SUM(OFFSET(E39,0,-($C131-1)):E39))</f>
        <v>152119.17529105252</v>
      </c>
      <c r="F41" s="29">
        <f ca="1">IF((F35-$D35)&lt;$C$131,SUM($D39:F39),SUM(OFFSET(F39,0,-($C131-1)):F39))</f>
        <v>761200.44396293035</v>
      </c>
      <c r="G41" s="29">
        <f ca="1">IF((G35-$D35)&lt;$C$131,SUM($D39:G39),SUM(OFFSET(G39,0,-($C131-1)):G39))</f>
        <v>1732655.0065082614</v>
      </c>
      <c r="H41" s="29">
        <f ca="1">IF((H35-$D35)&lt;$C$131,SUM($D39:H39),SUM(OFFSET(H39,0,-($C131-1)):H39))</f>
        <v>2705101.9143728078</v>
      </c>
      <c r="I41" s="29">
        <f ca="1">IF((I35-$D35)&lt;$C$131,SUM($D39:I39),SUM(OFFSET(I39,0,-($C131-1)):I39))</f>
        <v>3678421.0112180403</v>
      </c>
      <c r="J41" s="29">
        <f ca="1">IF((J35-$D35)&lt;$C$131,SUM($D39:J39),SUM(OFFSET(J39,0,-($C131-1)):J39))</f>
        <v>4651740.1080632731</v>
      </c>
      <c r="K41" s="29">
        <f ca="1">IF((K35-$D35)&lt;$C$131,SUM($D39:K39),SUM(OFFSET(K39,0,-($C131-1)):K39))</f>
        <v>5625059.204908506</v>
      </c>
      <c r="L41" s="29">
        <f ca="1">IF((L35-$D35)&lt;$C$131,SUM($D39:L39),SUM(OFFSET(L39,0,-($C131-1)):L39))</f>
        <v>6598378.3017537389</v>
      </c>
      <c r="M41" s="29">
        <f ca="1">IF((M35-$D35)&lt;$C$131,SUM($D39:M39),SUM(OFFSET(M39,0,-($C131-1)):M39))</f>
        <v>7571697.3985989718</v>
      </c>
      <c r="N41" s="29">
        <f ca="1">IF((N35-$D35)&lt;$C$131,SUM($D39:N39),SUM(OFFSET(N39,0,-($C131-1)):N39))</f>
        <v>8545016.4954442047</v>
      </c>
      <c r="O41" s="29">
        <f ca="1">IF((O35-$D35)&lt;$C$131,SUM($D39:O39),SUM(OFFSET(O39,0,-($C131-1)):O39))</f>
        <v>9366216.4169983845</v>
      </c>
      <c r="P41" s="29">
        <f ca="1">IF((P35-$D35)&lt;$C$131,SUM($D39:P39),SUM(OFFSET(P39,0,-($C131-1)):P39))</f>
        <v>9730454.2451717388</v>
      </c>
      <c r="Q41" s="29">
        <f ca="1">IF((Q35-$D35)&lt;$C$131,SUM($D39:Q39),SUM(OFFSET(Q39,0,-($C131-1)):Q39))</f>
        <v>9732318.7794716395</v>
      </c>
      <c r="R41" s="29">
        <f ca="1">IF((R35-$D35)&lt;$C$131,SUM($D39:R39),SUM(OFFSET(R39,0,-($C131-1)):R39))</f>
        <v>9733190.968452327</v>
      </c>
      <c r="S41" s="29">
        <f ca="1">IF((S35-$D35)&lt;$C$131,SUM($D39:S39),SUM(OFFSET(S39,0,-($C131-1)):S39))</f>
        <v>9733190.968452327</v>
      </c>
      <c r="T41" s="29">
        <f ca="1">IF((T35-$D35)&lt;$C$131,SUM($D39:T39),SUM(OFFSET(T39,0,-($C131-1)):T39))</f>
        <v>9733190.968452327</v>
      </c>
      <c r="U41" s="29">
        <f ca="1">IF((U35-$D35)&lt;$C$131,SUM($D39:U39),SUM(OFFSET(U39,0,-($C131-1)):U39))</f>
        <v>9733190.968452327</v>
      </c>
      <c r="V41" s="29">
        <f ca="1">IF((V35-$D35)&lt;$C$131,SUM($D39:V39),SUM(OFFSET(V39,0,-($C131-1)):V39))</f>
        <v>9733190.968452327</v>
      </c>
      <c r="W41" s="29">
        <f ca="1">IF((W35-$D35)&lt;$C$131,SUM($D39:W39),SUM(OFFSET(W39,0,-($C131-1)):W39))</f>
        <v>9733190.968452327</v>
      </c>
      <c r="X41" s="29">
        <f ca="1">IF((X35-$D35)&lt;$C$131,SUM($D39:X39),SUM(OFFSET(X39,0,-($C131-1)):X39))</f>
        <v>9733190.968452327</v>
      </c>
      <c r="Y41" s="29">
        <f ca="1">IF((Y35-$D35)&lt;$C$131,SUM($D39:Y39),SUM(OFFSET(Y39,0,-($C131-1)):Y39))</f>
        <v>9733190.968452327</v>
      </c>
      <c r="Z41" s="29">
        <f ca="1">IF((Z35-$D35)&lt;$C$131,SUM($D39:Z39),SUM(OFFSET(Z39,0,-($C131-1)):Z39))</f>
        <v>9733190.968452327</v>
      </c>
      <c r="AA41" s="29">
        <f ca="1">IF((AA35-$D35)&lt;$C$131,SUM($D39:AA39),SUM(OFFSET(AA39,0,-($C131-1)):AA39))</f>
        <v>9733190.968452327</v>
      </c>
      <c r="AB41" s="29">
        <f ca="1">IF((AB35-$D35)&lt;$C$131,SUM($D39:AB39),SUM(OFFSET(AB39,0,-($C131-1)):AB39))</f>
        <v>9733190.968452327</v>
      </c>
      <c r="AC41" s="30">
        <f ca="1">IF((AC35-$D35)&lt;$C$131,SUM($D39:AC39),SUM(OFFSET(AC39,0,-($C131-1)):AC39))</f>
        <v>9733190.968452327</v>
      </c>
    </row>
    <row r="42" spans="2:29" x14ac:dyDescent="0.25">
      <c r="B42" s="125"/>
      <c r="C42" s="125"/>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2:29" x14ac:dyDescent="0.25">
      <c r="B43" s="125"/>
      <c r="C43" s="125"/>
      <c r="D43" s="2"/>
      <c r="E43" s="2"/>
      <c r="F43" s="2"/>
      <c r="G43" s="2"/>
      <c r="H43" s="2"/>
      <c r="I43" s="2"/>
      <c r="J43" s="2"/>
      <c r="K43" s="2"/>
      <c r="L43" s="2"/>
      <c r="M43" s="2"/>
      <c r="N43" s="2"/>
      <c r="O43" s="2"/>
      <c r="P43" s="2"/>
      <c r="Q43" s="2"/>
      <c r="R43" s="2"/>
      <c r="S43" s="2"/>
      <c r="T43" s="2"/>
      <c r="U43" s="2"/>
      <c r="V43" s="2"/>
      <c r="W43" s="2"/>
      <c r="X43" s="2"/>
      <c r="Y43" s="2"/>
      <c r="Z43" s="2"/>
      <c r="AA43" s="2"/>
      <c r="AB43" s="2"/>
      <c r="AC43" s="2"/>
    </row>
    <row r="44" spans="2:29" ht="16.5" thickBot="1" x14ac:dyDescent="0.3">
      <c r="B44" s="48" t="s">
        <v>398</v>
      </c>
      <c r="C44" s="2"/>
      <c r="D44" s="2"/>
      <c r="E44" s="2"/>
      <c r="F44" s="2"/>
      <c r="G44" s="2"/>
      <c r="H44" s="2"/>
      <c r="I44" s="2"/>
      <c r="J44" s="2"/>
      <c r="K44" s="2"/>
      <c r="L44" s="2"/>
      <c r="M44" s="2"/>
      <c r="N44" s="2"/>
      <c r="O44" s="2"/>
      <c r="P44" s="2"/>
      <c r="Q44" s="2"/>
      <c r="R44" s="2"/>
      <c r="S44" s="2"/>
      <c r="T44" s="2"/>
      <c r="U44" s="2"/>
      <c r="V44" s="2"/>
      <c r="W44" s="2"/>
      <c r="X44" s="2"/>
      <c r="Y44" s="2"/>
      <c r="Z44" s="2"/>
      <c r="AA44" s="2"/>
      <c r="AB44" s="2"/>
      <c r="AC44" s="2"/>
    </row>
    <row r="45" spans="2:29" x14ac:dyDescent="0.25">
      <c r="B45" s="187"/>
      <c r="C45" s="188"/>
      <c r="D45" s="61">
        <v>2025</v>
      </c>
      <c r="E45" s="61">
        <v>2026</v>
      </c>
      <c r="F45" s="61">
        <v>2027</v>
      </c>
      <c r="G45" s="61">
        <v>2028</v>
      </c>
      <c r="H45" s="61">
        <v>2029</v>
      </c>
      <c r="I45" s="61">
        <v>2030</v>
      </c>
      <c r="J45" s="61">
        <v>2031</v>
      </c>
      <c r="K45" s="61">
        <v>2032</v>
      </c>
      <c r="L45" s="61">
        <v>2033</v>
      </c>
      <c r="M45" s="61">
        <v>2034</v>
      </c>
      <c r="N45" s="61">
        <v>2035</v>
      </c>
      <c r="O45" s="61">
        <v>2036</v>
      </c>
      <c r="P45" s="61">
        <v>2037</v>
      </c>
      <c r="Q45" s="61">
        <v>2038</v>
      </c>
      <c r="R45" s="61">
        <v>2039</v>
      </c>
      <c r="S45" s="61">
        <v>2040</v>
      </c>
      <c r="T45" s="61">
        <v>2041</v>
      </c>
      <c r="U45" s="61">
        <v>2042</v>
      </c>
      <c r="V45" s="61">
        <v>2043</v>
      </c>
      <c r="W45" s="61">
        <v>2044</v>
      </c>
      <c r="X45" s="61">
        <v>2045</v>
      </c>
      <c r="Y45" s="61">
        <v>2046</v>
      </c>
      <c r="Z45" s="61">
        <v>2047</v>
      </c>
      <c r="AA45" s="61">
        <v>2048</v>
      </c>
      <c r="AB45" s="61">
        <v>2049</v>
      </c>
      <c r="AC45" s="62">
        <v>2050</v>
      </c>
    </row>
    <row r="46" spans="2:29" x14ac:dyDescent="0.25">
      <c r="B46" s="178" t="s">
        <v>6</v>
      </c>
      <c r="C46" s="179"/>
      <c r="D46" s="3">
        <f>D13/C73*$C$127*$C$122/1000000/1000</f>
        <v>0</v>
      </c>
      <c r="E46" s="3">
        <f t="shared" ref="E46:H46" si="20">E13/D73*$C$127*$C$122/1000000/1000</f>
        <v>35358.313270973864</v>
      </c>
      <c r="F46" s="3">
        <f t="shared" si="20"/>
        <v>142130.9545020895</v>
      </c>
      <c r="G46" s="3">
        <f t="shared" si="20"/>
        <v>227538.13229186012</v>
      </c>
      <c r="H46" s="3">
        <f t="shared" si="20"/>
        <v>228574.59026118604</v>
      </c>
      <c r="I46" s="3">
        <f>I13/$H$73*$C$127*$C$122/1000000/1000</f>
        <v>229527.36611434832</v>
      </c>
      <c r="J46" s="3">
        <f t="shared" ref="J46:AC46" si="21">J13/$H$73*$C$127*$C$122/1000000/1000</f>
        <v>229527.36611434832</v>
      </c>
      <c r="K46" s="3">
        <f t="shared" si="21"/>
        <v>229527.36611434832</v>
      </c>
      <c r="L46" s="3">
        <f t="shared" si="21"/>
        <v>229527.36611434832</v>
      </c>
      <c r="M46" s="3">
        <f t="shared" si="21"/>
        <v>229527.36611434832</v>
      </c>
      <c r="N46" s="3">
        <f t="shared" si="21"/>
        <v>229527.36611434832</v>
      </c>
      <c r="O46" s="3">
        <f t="shared" si="21"/>
        <v>229527.36611434832</v>
      </c>
      <c r="P46" s="3">
        <f t="shared" si="21"/>
        <v>229527.36611434832</v>
      </c>
      <c r="Q46" s="3">
        <f t="shared" si="21"/>
        <v>229527.36611434832</v>
      </c>
      <c r="R46" s="3">
        <f t="shared" si="21"/>
        <v>229527.36611434832</v>
      </c>
      <c r="S46" s="3">
        <f t="shared" si="21"/>
        <v>229527.36611434832</v>
      </c>
      <c r="T46" s="3">
        <f t="shared" si="21"/>
        <v>229527.36611434832</v>
      </c>
      <c r="U46" s="3">
        <f t="shared" si="21"/>
        <v>229527.36611434832</v>
      </c>
      <c r="V46" s="3">
        <f t="shared" si="21"/>
        <v>229527.36611434832</v>
      </c>
      <c r="W46" s="3">
        <f t="shared" si="21"/>
        <v>229527.36611434832</v>
      </c>
      <c r="X46" s="3">
        <f t="shared" si="21"/>
        <v>229527.36611434832</v>
      </c>
      <c r="Y46" s="3">
        <f t="shared" si="21"/>
        <v>229527.36611434832</v>
      </c>
      <c r="Z46" s="3">
        <f t="shared" si="21"/>
        <v>229527.36611434832</v>
      </c>
      <c r="AA46" s="3">
        <f t="shared" si="21"/>
        <v>229527.36611434832</v>
      </c>
      <c r="AB46" s="3">
        <f t="shared" si="21"/>
        <v>229527.36611434832</v>
      </c>
      <c r="AC46" s="3">
        <f t="shared" si="21"/>
        <v>229527.36611434832</v>
      </c>
    </row>
    <row r="47" spans="2:29" x14ac:dyDescent="0.25">
      <c r="B47" s="178" t="s">
        <v>7</v>
      </c>
      <c r="C47" s="179"/>
      <c r="D47" s="3">
        <f>D46</f>
        <v>0</v>
      </c>
      <c r="E47" s="3">
        <f t="shared" ref="E47" si="22">D47+E46</f>
        <v>35358.313270973864</v>
      </c>
      <c r="F47" s="3">
        <f t="shared" ref="F47" si="23">E47+F46</f>
        <v>177489.26777306336</v>
      </c>
      <c r="G47" s="3">
        <f t="shared" ref="G47" si="24">F47+G46</f>
        <v>405027.40006492345</v>
      </c>
      <c r="H47" s="3">
        <f t="shared" ref="H47" si="25">G47+H46</f>
        <v>633601.99032610946</v>
      </c>
      <c r="I47" s="3">
        <f t="shared" ref="I47" si="26">H47+I46</f>
        <v>863129.35644045775</v>
      </c>
      <c r="J47" s="3">
        <f t="shared" ref="J47" si="27">I47+J46</f>
        <v>1092656.7225548062</v>
      </c>
      <c r="K47" s="3">
        <f t="shared" ref="K47" si="28">J47+K46</f>
        <v>1322184.0886691546</v>
      </c>
      <c r="L47" s="3">
        <f t="shared" ref="L47" si="29">K47+L46</f>
        <v>1551711.454783503</v>
      </c>
      <c r="M47" s="3">
        <f t="shared" ref="M47" si="30">L47+M46</f>
        <v>1781238.8208978514</v>
      </c>
      <c r="N47" s="3">
        <f t="shared" ref="N47" si="31">M47+N46</f>
        <v>2010766.1870121998</v>
      </c>
      <c r="O47" s="3">
        <f t="shared" ref="O47" si="32">N47+O46</f>
        <v>2240293.553126548</v>
      </c>
      <c r="P47" s="3">
        <f t="shared" ref="P47" si="33">O47+P46</f>
        <v>2469820.9192408961</v>
      </c>
      <c r="Q47" s="3">
        <f t="shared" ref="Q47" si="34">P47+Q46</f>
        <v>2699348.2853552443</v>
      </c>
      <c r="R47" s="3">
        <f t="shared" ref="R47" si="35">Q47+R46</f>
        <v>2928875.6514695925</v>
      </c>
      <c r="S47" s="3">
        <f t="shared" ref="S47" si="36">R47+S46</f>
        <v>3158403.0175839406</v>
      </c>
      <c r="T47" s="3">
        <f t="shared" ref="T47" si="37">S47+T46</f>
        <v>3387930.3836982888</v>
      </c>
      <c r="U47" s="3">
        <f t="shared" ref="U47" si="38">T47+U46</f>
        <v>3617457.749812637</v>
      </c>
      <c r="V47" s="3">
        <f t="shared" ref="V47" si="39">U47+V46</f>
        <v>3846985.1159269852</v>
      </c>
      <c r="W47" s="3">
        <f t="shared" ref="W47" si="40">V47+W46</f>
        <v>4076512.4820413333</v>
      </c>
      <c r="X47" s="3">
        <f t="shared" ref="X47" si="41">W47+X46</f>
        <v>4306039.848155682</v>
      </c>
      <c r="Y47" s="3">
        <f t="shared" ref="Y47" si="42">X47+Y46</f>
        <v>4535567.2142700301</v>
      </c>
      <c r="Z47" s="3">
        <f t="shared" ref="Z47" si="43">Y47+Z46</f>
        <v>4765094.5803843783</v>
      </c>
      <c r="AA47" s="3">
        <f t="shared" ref="AA47" si="44">Z47+AA46</f>
        <v>4994621.9464987265</v>
      </c>
      <c r="AB47" s="3">
        <f t="shared" ref="AB47" si="45">AA47+AB46</f>
        <v>5224149.3126130747</v>
      </c>
      <c r="AC47" s="28">
        <f t="shared" ref="AC47" si="46">AB47+AC46</f>
        <v>5453676.6787274228</v>
      </c>
    </row>
    <row r="48" spans="2:29" ht="15.75" thickBot="1" x14ac:dyDescent="0.3">
      <c r="B48" s="180" t="s">
        <v>146</v>
      </c>
      <c r="C48" s="181"/>
      <c r="D48" s="29">
        <f ca="1">IF((D45-$D45)&lt;$C$131,SUM($D46:D46),SUM(OFFSET(D46,0,-($C131-1)):D46))</f>
        <v>0</v>
      </c>
      <c r="E48" s="29">
        <f ca="1">IF((E45-$D45)&lt;$C$131,SUM($D46:E46),SUM(OFFSET(E46,0,-($C131-1)):E46))</f>
        <v>35358.313270973864</v>
      </c>
      <c r="F48" s="29">
        <f ca="1">IF((F45-$D45)&lt;$C$131,SUM($D46:F46),SUM(OFFSET(F46,0,-($C131-1)):F46))</f>
        <v>177489.26777306336</v>
      </c>
      <c r="G48" s="29">
        <f ca="1">IF((G45-$D45)&lt;$C$131,SUM($D46:G46),SUM(OFFSET(G46,0,-($C131-1)):G46))</f>
        <v>405027.40006492345</v>
      </c>
      <c r="H48" s="29">
        <f ca="1">IF((H45-$D45)&lt;$C$131,SUM($D46:H46),SUM(OFFSET(H46,0,-($C131-1)):H46))</f>
        <v>633601.99032610946</v>
      </c>
      <c r="I48" s="29">
        <f ca="1">IF((I45-$D45)&lt;$C$131,SUM($D46:I46),SUM(OFFSET(I46,0,-($C131-1)):I46))</f>
        <v>863129.35644045775</v>
      </c>
      <c r="J48" s="29">
        <f ca="1">IF((J45-$D45)&lt;$C$131,SUM($D46:J46),SUM(OFFSET(J46,0,-($C131-1)):J46))</f>
        <v>1092656.7225548062</v>
      </c>
      <c r="K48" s="29">
        <f ca="1">IF((K45-$D45)&lt;$C$131,SUM($D46:K46),SUM(OFFSET(K46,0,-($C131-1)):K46))</f>
        <v>1322184.0886691546</v>
      </c>
      <c r="L48" s="29">
        <f ca="1">IF((L45-$D45)&lt;$C$131,SUM($D46:L46),SUM(OFFSET(L46,0,-($C131-1)):L46))</f>
        <v>1551711.454783503</v>
      </c>
      <c r="M48" s="29">
        <f ca="1">IF((M45-$D45)&lt;$C$131,SUM($D46:M46),SUM(OFFSET(M46,0,-($C131-1)):M46))</f>
        <v>1781238.8208978514</v>
      </c>
      <c r="N48" s="29">
        <f ca="1">IF((N45-$D45)&lt;$C$131,SUM($D46:N46),SUM(OFFSET(N46,0,-($C131-1)):N46))</f>
        <v>2010766.1870121998</v>
      </c>
      <c r="O48" s="29">
        <f ca="1">IF((O45-$D45)&lt;$C$131,SUM($D46:O46),SUM(OFFSET(O46,0,-($C131-1)):O46))</f>
        <v>2204935.239855574</v>
      </c>
      <c r="P48" s="29">
        <f ca="1">IF((P45-$D45)&lt;$C$131,SUM($D46:P46),SUM(OFFSET(P46,0,-($C131-1)):P46))</f>
        <v>2292331.6514678332</v>
      </c>
      <c r="Q48" s="29">
        <f ca="1">IF((Q45-$D45)&lt;$C$131,SUM($D46:Q46),SUM(OFFSET(Q46,0,-($C131-1)):Q46))</f>
        <v>2294320.8852903214</v>
      </c>
      <c r="R48" s="29">
        <f ca="1">IF((R45-$D45)&lt;$C$131,SUM($D46:R46),SUM(OFFSET(R46,0,-($C131-1)):R46))</f>
        <v>2295273.6611434836</v>
      </c>
      <c r="S48" s="29">
        <f ca="1">IF((S45-$D45)&lt;$C$131,SUM($D46:S46),SUM(OFFSET(S46,0,-($C131-1)):S46))</f>
        <v>2295273.6611434836</v>
      </c>
      <c r="T48" s="29">
        <f ca="1">IF((T45-$D45)&lt;$C$131,SUM($D46:T46),SUM(OFFSET(T46,0,-($C131-1)):T46))</f>
        <v>2295273.6611434836</v>
      </c>
      <c r="U48" s="29">
        <f ca="1">IF((U45-$D45)&lt;$C$131,SUM($D46:U46),SUM(OFFSET(U46,0,-($C131-1)):U46))</f>
        <v>2295273.6611434836</v>
      </c>
      <c r="V48" s="29">
        <f ca="1">IF((V45-$D45)&lt;$C$131,SUM($D46:V46),SUM(OFFSET(V46,0,-($C131-1)):V46))</f>
        <v>2295273.6611434836</v>
      </c>
      <c r="W48" s="29">
        <f ca="1">IF((W45-$D45)&lt;$C$131,SUM($D46:W46),SUM(OFFSET(W46,0,-($C131-1)):W46))</f>
        <v>2295273.6611434836</v>
      </c>
      <c r="X48" s="29">
        <f ca="1">IF((X45-$D45)&lt;$C$131,SUM($D46:X46),SUM(OFFSET(X46,0,-($C131-1)):X46))</f>
        <v>2295273.6611434836</v>
      </c>
      <c r="Y48" s="29">
        <f ca="1">IF((Y45-$D45)&lt;$C$131,SUM($D46:Y46),SUM(OFFSET(Y46,0,-($C131-1)):Y46))</f>
        <v>2295273.6611434836</v>
      </c>
      <c r="Z48" s="29">
        <f ca="1">IF((Z45-$D45)&lt;$C$131,SUM($D46:Z46),SUM(OFFSET(Z46,0,-($C131-1)):Z46))</f>
        <v>2295273.6611434836</v>
      </c>
      <c r="AA48" s="29">
        <f ca="1">IF((AA45-$D45)&lt;$C$131,SUM($D46:AA46),SUM(OFFSET(AA46,0,-($C131-1)):AA46))</f>
        <v>2295273.6611434836</v>
      </c>
      <c r="AB48" s="29">
        <f ca="1">IF((AB45-$D45)&lt;$C$131,SUM($D46:AB46),SUM(OFFSET(AB46,0,-($C131-1)):AB46))</f>
        <v>2295273.6611434836</v>
      </c>
      <c r="AC48" s="30">
        <f ca="1">IF((AC45-$D45)&lt;$C$131,SUM($D46:AC46),SUM(OFFSET(AC46,0,-($C131-1)):AC46))</f>
        <v>2295273.6611434836</v>
      </c>
    </row>
    <row r="49" spans="2:29" x14ac:dyDescent="0.25">
      <c r="AC49" s="2"/>
    </row>
    <row r="50" spans="2:29" x14ac:dyDescent="0.25">
      <c r="B50" s="125"/>
      <c r="C50" s="125"/>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2:29" ht="16.5" thickBot="1" x14ac:dyDescent="0.3">
      <c r="B51" s="48" t="s">
        <v>312</v>
      </c>
      <c r="E51" s="99"/>
      <c r="F51" s="99"/>
      <c r="G51" s="99"/>
      <c r="H51" s="99"/>
      <c r="I51" s="99"/>
      <c r="J51" s="99"/>
      <c r="K51" s="99"/>
      <c r="L51" s="99"/>
      <c r="M51" s="99"/>
      <c r="N51" s="99"/>
      <c r="O51" s="99"/>
      <c r="P51" s="99"/>
      <c r="Q51" s="99"/>
      <c r="R51" s="99"/>
      <c r="S51" s="99"/>
      <c r="T51" s="99"/>
      <c r="U51" s="99"/>
      <c r="V51" s="99"/>
      <c r="W51" s="99"/>
      <c r="X51" s="99"/>
      <c r="Y51" s="99"/>
      <c r="Z51" s="99"/>
      <c r="AA51" s="99"/>
      <c r="AB51" s="99"/>
      <c r="AC51" s="99"/>
    </row>
    <row r="52" spans="2:29" x14ac:dyDescent="0.25">
      <c r="B52" s="172"/>
      <c r="C52" s="173"/>
      <c r="D52" s="61">
        <v>2025</v>
      </c>
      <c r="E52" s="61">
        <v>2026</v>
      </c>
      <c r="F52" s="61">
        <v>2027</v>
      </c>
      <c r="G52" s="61">
        <v>2028</v>
      </c>
      <c r="H52" s="61">
        <v>2029</v>
      </c>
      <c r="I52" s="61">
        <v>2030</v>
      </c>
      <c r="J52" s="61">
        <v>2031</v>
      </c>
      <c r="K52" s="61">
        <v>2032</v>
      </c>
      <c r="L52" s="61">
        <v>2033</v>
      </c>
      <c r="M52" s="61">
        <v>2034</v>
      </c>
      <c r="N52" s="61">
        <v>2035</v>
      </c>
      <c r="O52" s="61">
        <v>2036</v>
      </c>
      <c r="P52" s="61">
        <v>2037</v>
      </c>
      <c r="Q52" s="61">
        <v>2038</v>
      </c>
      <c r="R52" s="61">
        <v>2039</v>
      </c>
      <c r="S52" s="61">
        <v>2040</v>
      </c>
      <c r="T52" s="61">
        <v>2041</v>
      </c>
      <c r="U52" s="61">
        <v>2042</v>
      </c>
      <c r="V52" s="61">
        <v>2043</v>
      </c>
      <c r="W52" s="61">
        <v>2044</v>
      </c>
      <c r="X52" s="61">
        <v>2045</v>
      </c>
      <c r="Y52" s="61">
        <v>2046</v>
      </c>
      <c r="Z52" s="61">
        <v>2047</v>
      </c>
      <c r="AA52" s="61">
        <v>2048</v>
      </c>
      <c r="AB52" s="61">
        <v>2049</v>
      </c>
      <c r="AC52" s="62">
        <v>2050</v>
      </c>
    </row>
    <row r="53" spans="2:29" x14ac:dyDescent="0.25">
      <c r="B53" s="168" t="s">
        <v>307</v>
      </c>
      <c r="C53" s="169"/>
      <c r="D53" s="3">
        <f>D39+D46-D29</f>
        <v>0</v>
      </c>
      <c r="E53" s="3">
        <f t="shared" ref="E53:AC53" si="47">E39+E46-E29</f>
        <v>137019.89301778786</v>
      </c>
      <c r="F53" s="3">
        <f t="shared" si="47"/>
        <v>549381.84099701326</v>
      </c>
      <c r="G53" s="3">
        <f t="shared" si="47"/>
        <v>877325.52324267046</v>
      </c>
      <c r="H53" s="3">
        <f t="shared" si="47"/>
        <v>879354.32653121173</v>
      </c>
      <c r="I53" s="3">
        <f t="shared" si="47"/>
        <v>984096.03613218374</v>
      </c>
      <c r="J53" s="3">
        <f t="shared" si="47"/>
        <v>984096.03613218374</v>
      </c>
      <c r="K53" s="3">
        <f t="shared" si="47"/>
        <v>984096.03613218374</v>
      </c>
      <c r="L53" s="3">
        <f t="shared" si="47"/>
        <v>984096.03613218374</v>
      </c>
      <c r="M53" s="3">
        <f t="shared" si="47"/>
        <v>984096.03613218374</v>
      </c>
      <c r="N53" s="3">
        <f t="shared" si="47"/>
        <v>984096.03613218374</v>
      </c>
      <c r="O53" s="3">
        <f t="shared" si="47"/>
        <v>984096.03613218374</v>
      </c>
      <c r="P53" s="3">
        <f t="shared" si="47"/>
        <v>984096.03613218374</v>
      </c>
      <c r="Q53" s="3">
        <f t="shared" si="47"/>
        <v>984096.03613218374</v>
      </c>
      <c r="R53" s="3">
        <f t="shared" si="47"/>
        <v>984096.03613218374</v>
      </c>
      <c r="S53" s="3">
        <f t="shared" si="47"/>
        <v>984096.03613218374</v>
      </c>
      <c r="T53" s="3">
        <f t="shared" si="47"/>
        <v>984096.03613218374</v>
      </c>
      <c r="U53" s="3">
        <f t="shared" si="47"/>
        <v>984096.03613218374</v>
      </c>
      <c r="V53" s="3">
        <f t="shared" si="47"/>
        <v>984096.03613218374</v>
      </c>
      <c r="W53" s="3">
        <f t="shared" si="47"/>
        <v>984096.03613218374</v>
      </c>
      <c r="X53" s="3">
        <f t="shared" si="47"/>
        <v>1202846.4629595811</v>
      </c>
      <c r="Y53" s="3">
        <f t="shared" si="47"/>
        <v>1202846.4629595811</v>
      </c>
      <c r="Z53" s="3">
        <f t="shared" si="47"/>
        <v>1202846.4629595811</v>
      </c>
      <c r="AA53" s="3">
        <f t="shared" si="47"/>
        <v>1202846.4629595811</v>
      </c>
      <c r="AB53" s="3">
        <f t="shared" si="47"/>
        <v>1202846.4629595811</v>
      </c>
      <c r="AC53" s="28">
        <f t="shared" si="47"/>
        <v>1202846.4629595811</v>
      </c>
    </row>
    <row r="54" spans="2:29" x14ac:dyDescent="0.25">
      <c r="B54" s="168" t="s">
        <v>444</v>
      </c>
      <c r="C54" s="169"/>
      <c r="D54" s="3">
        <f ca="1">D41+D48-D31</f>
        <v>0</v>
      </c>
      <c r="E54" s="3">
        <f t="shared" ref="E54:AC54" ca="1" si="48">E41+E48-E31</f>
        <v>137019.89301778786</v>
      </c>
      <c r="F54" s="3">
        <f t="shared" ca="1" si="48"/>
        <v>686401.7340148011</v>
      </c>
      <c r="G54" s="3">
        <f t="shared" ca="1" si="48"/>
        <v>1563727.2572574713</v>
      </c>
      <c r="H54" s="3">
        <f t="shared" ca="1" si="48"/>
        <v>2443081.5837886832</v>
      </c>
      <c r="I54" s="3">
        <f t="shared" ca="1" si="48"/>
        <v>3427177.6199208666</v>
      </c>
      <c r="J54" s="3">
        <f t="shared" ca="1" si="48"/>
        <v>4411273.6560530514</v>
      </c>
      <c r="K54" s="3">
        <f t="shared" ca="1" si="48"/>
        <v>5395369.6921852352</v>
      </c>
      <c r="L54" s="3">
        <f t="shared" ca="1" si="48"/>
        <v>6379465.7283174191</v>
      </c>
      <c r="M54" s="3">
        <f t="shared" ca="1" si="48"/>
        <v>7363561.7644496039</v>
      </c>
      <c r="N54" s="3">
        <f t="shared" ca="1" si="48"/>
        <v>8347657.8005817868</v>
      </c>
      <c r="O54" s="3">
        <f t="shared" ca="1" si="48"/>
        <v>9194733.9436961822</v>
      </c>
      <c r="P54" s="3">
        <f t="shared" ca="1" si="48"/>
        <v>9629448.1388313528</v>
      </c>
      <c r="Q54" s="3">
        <f t="shared" ca="1" si="48"/>
        <v>9736218.6517208647</v>
      </c>
      <c r="R54" s="3">
        <f t="shared" ca="1" si="48"/>
        <v>9840960.3613218386</v>
      </c>
      <c r="S54" s="3">
        <f t="shared" ca="1" si="48"/>
        <v>9840960.3613218386</v>
      </c>
      <c r="T54" s="3">
        <f t="shared" ca="1" si="48"/>
        <v>9840960.3613218386</v>
      </c>
      <c r="U54" s="3">
        <f t="shared" ca="1" si="48"/>
        <v>9840960.3613218386</v>
      </c>
      <c r="V54" s="3">
        <f t="shared" ca="1" si="48"/>
        <v>9840960.3613218386</v>
      </c>
      <c r="W54" s="3">
        <f t="shared" ca="1" si="48"/>
        <v>9840960.3613218386</v>
      </c>
      <c r="X54" s="3">
        <f t="shared" ca="1" si="48"/>
        <v>10059710.788149236</v>
      </c>
      <c r="Y54" s="3">
        <f t="shared" ca="1" si="48"/>
        <v>10278461.214976633</v>
      </c>
      <c r="Z54" s="3">
        <f t="shared" ca="1" si="48"/>
        <v>10497211.64180403</v>
      </c>
      <c r="AA54" s="3">
        <f t="shared" ca="1" si="48"/>
        <v>10715962.068631427</v>
      </c>
      <c r="AB54" s="3">
        <f t="shared" ca="1" si="48"/>
        <v>10934712.495458825</v>
      </c>
      <c r="AC54" s="28">
        <f t="shared" ca="1" si="48"/>
        <v>11153462.922286222</v>
      </c>
    </row>
    <row r="55" spans="2:29" ht="15.75" thickBot="1" x14ac:dyDescent="0.3">
      <c r="B55" s="170" t="s">
        <v>445</v>
      </c>
      <c r="C55" s="171"/>
      <c r="D55" s="29">
        <f>D40+D47-D30</f>
        <v>0</v>
      </c>
      <c r="E55" s="29">
        <f t="shared" ref="E55:AC55" si="49">E40+E47-E30</f>
        <v>137019.89301778786</v>
      </c>
      <c r="F55" s="29">
        <f t="shared" si="49"/>
        <v>686401.7340148011</v>
      </c>
      <c r="G55" s="29">
        <f t="shared" si="49"/>
        <v>1563727.2572574713</v>
      </c>
      <c r="H55" s="29">
        <f t="shared" si="49"/>
        <v>2443081.5837886832</v>
      </c>
      <c r="I55" s="29">
        <f t="shared" si="49"/>
        <v>3427177.6199208666</v>
      </c>
      <c r="J55" s="29">
        <f t="shared" si="49"/>
        <v>4411273.6560530514</v>
      </c>
      <c r="K55" s="29">
        <f t="shared" si="49"/>
        <v>5395369.6921852352</v>
      </c>
      <c r="L55" s="29">
        <f t="shared" si="49"/>
        <v>6379465.7283174191</v>
      </c>
      <c r="M55" s="29">
        <f t="shared" si="49"/>
        <v>7363561.7644496039</v>
      </c>
      <c r="N55" s="29">
        <f t="shared" si="49"/>
        <v>8347657.8005817868</v>
      </c>
      <c r="O55" s="29">
        <f t="shared" si="49"/>
        <v>9331753.8367139697</v>
      </c>
      <c r="P55" s="29">
        <f t="shared" si="49"/>
        <v>10315849.872846153</v>
      </c>
      <c r="Q55" s="29">
        <f t="shared" si="49"/>
        <v>11299945.908978336</v>
      </c>
      <c r="R55" s="29">
        <f t="shared" si="49"/>
        <v>12284041.945110518</v>
      </c>
      <c r="S55" s="29">
        <f t="shared" si="49"/>
        <v>13268137.981242701</v>
      </c>
      <c r="T55" s="29">
        <f t="shared" si="49"/>
        <v>14252234.017374884</v>
      </c>
      <c r="U55" s="29">
        <f t="shared" si="49"/>
        <v>15236330.053507067</v>
      </c>
      <c r="V55" s="29">
        <f t="shared" si="49"/>
        <v>16220426.08963925</v>
      </c>
      <c r="W55" s="29">
        <f t="shared" si="49"/>
        <v>17204522.125771433</v>
      </c>
      <c r="X55" s="29">
        <f t="shared" si="49"/>
        <v>18407368.588731013</v>
      </c>
      <c r="Y55" s="29">
        <f t="shared" si="49"/>
        <v>19610215.051690593</v>
      </c>
      <c r="Z55" s="29">
        <f t="shared" si="49"/>
        <v>20813061.514650173</v>
      </c>
      <c r="AA55" s="29">
        <f t="shared" si="49"/>
        <v>22015907.977609754</v>
      </c>
      <c r="AB55" s="29">
        <f t="shared" si="49"/>
        <v>23218754.440569334</v>
      </c>
      <c r="AC55" s="30">
        <f t="shared" si="49"/>
        <v>24421600.903528914</v>
      </c>
    </row>
    <row r="56" spans="2:29" x14ac:dyDescent="0.25">
      <c r="E56" s="99"/>
      <c r="F56" s="99"/>
      <c r="G56" s="99"/>
      <c r="H56" s="99"/>
      <c r="I56" s="99"/>
      <c r="J56" s="99"/>
      <c r="K56" s="99"/>
      <c r="L56" s="99"/>
      <c r="M56" s="99"/>
      <c r="N56" s="99"/>
      <c r="O56" s="99"/>
      <c r="P56" s="99"/>
      <c r="Q56" s="99"/>
      <c r="R56" s="99"/>
      <c r="S56" s="99"/>
      <c r="T56" s="99"/>
      <c r="U56" s="99"/>
      <c r="V56" s="99"/>
      <c r="W56" s="99"/>
      <c r="X56" s="99"/>
      <c r="Y56" s="99"/>
      <c r="Z56" s="99"/>
      <c r="AA56" s="99"/>
      <c r="AB56" s="99"/>
      <c r="AC56" s="99"/>
    </row>
    <row r="57" spans="2:29" x14ac:dyDescent="0.25">
      <c r="E57" s="99"/>
      <c r="F57" s="99"/>
      <c r="G57" s="99"/>
      <c r="H57" s="99"/>
      <c r="I57" s="99"/>
      <c r="J57" s="99"/>
      <c r="K57" s="99"/>
      <c r="L57" s="99"/>
      <c r="M57" s="99"/>
      <c r="N57" s="99"/>
      <c r="O57" s="99"/>
      <c r="P57" s="99"/>
      <c r="Q57" s="99"/>
      <c r="R57" s="99"/>
      <c r="S57" s="99"/>
      <c r="T57" s="99"/>
      <c r="U57" s="99"/>
      <c r="V57" s="99"/>
      <c r="W57" s="99"/>
      <c r="X57" s="99"/>
      <c r="Y57" s="99"/>
      <c r="Z57" s="99"/>
      <c r="AA57" s="99"/>
      <c r="AB57" s="99"/>
      <c r="AC57" s="99"/>
    </row>
    <row r="58" spans="2:29" ht="16.5" thickBot="1" x14ac:dyDescent="0.3">
      <c r="B58" s="48" t="s">
        <v>282</v>
      </c>
      <c r="E58" s="99"/>
      <c r="F58" s="99"/>
      <c r="G58" s="99"/>
      <c r="H58" s="99"/>
      <c r="I58" s="99"/>
      <c r="J58" s="99"/>
      <c r="K58" s="99"/>
      <c r="L58" s="99"/>
      <c r="M58" s="99"/>
      <c r="N58" s="99"/>
      <c r="O58" s="99"/>
      <c r="P58" s="99"/>
      <c r="Q58" s="99"/>
      <c r="R58" s="99"/>
      <c r="S58" s="99"/>
      <c r="T58" s="99"/>
      <c r="U58" s="99"/>
      <c r="V58" s="99"/>
      <c r="W58" s="99"/>
      <c r="X58" s="99"/>
      <c r="Y58" s="99"/>
      <c r="Z58" s="99"/>
      <c r="AA58" s="99"/>
      <c r="AB58" s="99"/>
      <c r="AC58" s="99"/>
    </row>
    <row r="59" spans="2:29" x14ac:dyDescent="0.25">
      <c r="B59" s="187"/>
      <c r="C59" s="188"/>
      <c r="D59" s="62">
        <v>2030</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row>
    <row r="60" spans="2:29" x14ac:dyDescent="0.25">
      <c r="B60" s="168" t="s">
        <v>132</v>
      </c>
      <c r="C60" s="169"/>
      <c r="D60" s="134">
        <f>(I13*C116+I15*C117*312)/1000000</f>
        <v>1289.4179588326501</v>
      </c>
      <c r="E60" s="99"/>
      <c r="F60" s="99"/>
      <c r="G60" s="99"/>
      <c r="H60" s="99"/>
      <c r="I60" s="99"/>
      <c r="J60" s="99"/>
      <c r="K60" s="99"/>
      <c r="L60" s="99"/>
      <c r="M60" s="99"/>
      <c r="N60" s="99"/>
      <c r="O60" s="99"/>
      <c r="P60" s="99"/>
      <c r="Q60" s="99"/>
      <c r="R60" s="99"/>
      <c r="S60" s="99"/>
      <c r="T60" s="99"/>
      <c r="U60" s="99"/>
      <c r="V60" s="99"/>
      <c r="W60" s="99"/>
      <c r="X60" s="99"/>
      <c r="Y60" s="99"/>
      <c r="Z60" s="99"/>
      <c r="AA60" s="99"/>
      <c r="AB60" s="99"/>
      <c r="AC60" s="99"/>
    </row>
    <row r="61" spans="2:29" x14ac:dyDescent="0.25">
      <c r="B61" s="168" t="s">
        <v>133</v>
      </c>
      <c r="C61" s="169"/>
      <c r="D61" s="134">
        <f>(I13*D116+I15*D117*312)/1000000</f>
        <v>17.79685238601132</v>
      </c>
      <c r="E61" s="99"/>
      <c r="F61" s="99"/>
      <c r="G61" s="99"/>
      <c r="H61" s="99"/>
      <c r="I61" s="99"/>
      <c r="J61" s="99"/>
      <c r="K61" s="99"/>
      <c r="L61" s="99"/>
      <c r="M61" s="99"/>
      <c r="N61" s="99"/>
      <c r="O61" s="99"/>
      <c r="P61" s="99"/>
      <c r="Q61" s="99"/>
      <c r="R61" s="99"/>
      <c r="S61" s="99"/>
      <c r="T61" s="99"/>
      <c r="U61" s="99"/>
      <c r="V61" s="99"/>
      <c r="W61" s="99"/>
      <c r="X61" s="99"/>
      <c r="Y61" s="99"/>
      <c r="Z61" s="99"/>
      <c r="AA61" s="99"/>
      <c r="AB61" s="99"/>
      <c r="AC61" s="99"/>
    </row>
    <row r="62" spans="2:29" ht="15.75" thickBot="1" x14ac:dyDescent="0.3">
      <c r="B62" s="170" t="s">
        <v>134</v>
      </c>
      <c r="C62" s="171"/>
      <c r="D62" s="135">
        <f>(I13*E116+I15*E117)/1000000</f>
        <v>18.553716034367476</v>
      </c>
      <c r="E62" s="99"/>
      <c r="F62" s="99"/>
      <c r="G62" s="99"/>
      <c r="H62" s="99"/>
      <c r="I62" s="99"/>
      <c r="J62" s="99"/>
      <c r="K62" s="99"/>
      <c r="L62" s="99"/>
      <c r="M62" s="99"/>
      <c r="N62" s="99"/>
      <c r="O62" s="99"/>
      <c r="P62" s="99"/>
      <c r="Q62" s="99"/>
      <c r="R62" s="99"/>
      <c r="S62" s="99"/>
      <c r="T62" s="99"/>
      <c r="U62" s="99"/>
      <c r="V62" s="99"/>
      <c r="W62" s="99"/>
      <c r="X62" s="99"/>
      <c r="Y62" s="99"/>
      <c r="Z62" s="99"/>
      <c r="AA62" s="99"/>
      <c r="AB62" s="99"/>
      <c r="AC62" s="99"/>
    </row>
    <row r="63" spans="2:29" x14ac:dyDescent="0.25">
      <c r="E63" s="99"/>
      <c r="F63" s="99"/>
      <c r="G63" s="99"/>
      <c r="H63" s="99"/>
      <c r="I63" s="99"/>
      <c r="J63" s="99"/>
      <c r="K63" s="99"/>
      <c r="L63" s="99"/>
      <c r="M63" s="99"/>
      <c r="N63" s="99"/>
      <c r="O63" s="99"/>
      <c r="P63" s="99"/>
      <c r="Q63" s="99"/>
      <c r="R63" s="99"/>
      <c r="S63" s="99"/>
      <c r="T63" s="99"/>
      <c r="U63" s="99"/>
      <c r="V63" s="99"/>
      <c r="W63" s="99"/>
      <c r="X63" s="99"/>
      <c r="Y63" s="99"/>
      <c r="Z63" s="99"/>
      <c r="AA63" s="99"/>
      <c r="AB63" s="99"/>
      <c r="AC63" s="99"/>
    </row>
    <row r="64" spans="2:29" x14ac:dyDescent="0.25">
      <c r="E64" s="99"/>
      <c r="G64" s="99"/>
      <c r="H64" s="99"/>
      <c r="I64" s="99"/>
      <c r="J64" s="99"/>
      <c r="K64" s="99"/>
      <c r="L64" s="99"/>
      <c r="M64" s="99"/>
      <c r="N64" s="99"/>
      <c r="O64" s="99"/>
      <c r="P64" s="99"/>
      <c r="Q64" s="99"/>
      <c r="R64" s="99"/>
      <c r="S64" s="99"/>
      <c r="T64" s="99"/>
      <c r="U64" s="99"/>
      <c r="V64" s="99"/>
      <c r="W64" s="99"/>
      <c r="X64" s="99"/>
      <c r="Y64" s="99"/>
      <c r="Z64" s="99"/>
      <c r="AA64" s="99"/>
      <c r="AB64" s="99"/>
      <c r="AC64" s="99"/>
    </row>
    <row r="65" spans="2:8" x14ac:dyDescent="0.25">
      <c r="F65" s="99"/>
    </row>
    <row r="66" spans="2:8" ht="15.75" x14ac:dyDescent="0.25">
      <c r="B66" s="48" t="s">
        <v>140</v>
      </c>
    </row>
    <row r="67" spans="2:8" ht="15.75" thickBot="1" x14ac:dyDescent="0.3"/>
    <row r="68" spans="2:8" ht="15.75" thickBot="1" x14ac:dyDescent="0.3">
      <c r="B68" s="123" t="s">
        <v>294</v>
      </c>
      <c r="C68" s="124">
        <v>250</v>
      </c>
    </row>
    <row r="70" spans="2:8" ht="16.149999999999999" customHeight="1" thickBot="1" x14ac:dyDescent="0.3">
      <c r="B70" s="48"/>
    </row>
    <row r="71" spans="2:8" x14ac:dyDescent="0.25">
      <c r="B71" s="7" t="s">
        <v>295</v>
      </c>
      <c r="C71" s="8">
        <v>2025</v>
      </c>
      <c r="D71" s="8">
        <v>2026</v>
      </c>
      <c r="E71" s="8">
        <v>2027</v>
      </c>
      <c r="F71" s="8">
        <v>2028</v>
      </c>
      <c r="G71" s="8">
        <v>2029</v>
      </c>
      <c r="H71" s="33" t="s">
        <v>123</v>
      </c>
    </row>
    <row r="72" spans="2:8" x14ac:dyDescent="0.25">
      <c r="B72" s="113" t="s">
        <v>96</v>
      </c>
      <c r="C72" s="153">
        <v>54788</v>
      </c>
      <c r="D72" s="153">
        <v>54788</v>
      </c>
      <c r="E72" s="153">
        <v>54788</v>
      </c>
      <c r="F72" s="153">
        <v>54788</v>
      </c>
      <c r="G72" s="153">
        <v>54788</v>
      </c>
      <c r="H72" s="155">
        <v>54788</v>
      </c>
    </row>
    <row r="73" spans="2:8" x14ac:dyDescent="0.25">
      <c r="B73" s="10" t="s">
        <v>400</v>
      </c>
      <c r="C73" s="154">
        <f>'EMFAC Model Results'!BP20</f>
        <v>5.9520749233171024</v>
      </c>
      <c r="D73" s="154">
        <f>'EMFAC Model Results'!BP32</f>
        <v>5.9232160057795546</v>
      </c>
      <c r="E73" s="154">
        <f>'EMFAC Model Results'!BP44</f>
        <v>5.8941397484506748</v>
      </c>
      <c r="F73" s="154">
        <f>'EMFAC Model Results'!BP56</f>
        <v>5.8677973965938328</v>
      </c>
      <c r="G73" s="154">
        <f>'EMFAC Model Results'!BP68</f>
        <v>5.8411902161231604</v>
      </c>
      <c r="H73" s="156">
        <f>'EMFAC Model Results'!BP80</f>
        <v>5.8169432381446065</v>
      </c>
    </row>
    <row r="74" spans="2:8" x14ac:dyDescent="0.25">
      <c r="B74" s="113" t="s">
        <v>165</v>
      </c>
      <c r="C74" s="114">
        <f>'EMFAC Model Results'!AE18</f>
        <v>1573.1002154801413</v>
      </c>
      <c r="D74" s="114">
        <f>'EMFAC Model Results'!AE30</f>
        <v>1574.3673070441864</v>
      </c>
      <c r="E74" s="114">
        <f>'EMFAC Model Results'!AE42</f>
        <v>1576.0566454386064</v>
      </c>
      <c r="F74" s="114">
        <f>'EMFAC Model Results'!AE54</f>
        <v>1577.380464394935</v>
      </c>
      <c r="G74" s="114">
        <f>'EMFAC Model Results'!AE66</f>
        <v>1579.1492476771411</v>
      </c>
      <c r="H74" s="115">
        <f>'EMFAC Model Results'!AE78</f>
        <v>1580.6930334621061</v>
      </c>
    </row>
    <row r="75" spans="2:8" x14ac:dyDescent="0.25">
      <c r="B75" s="113" t="s">
        <v>166</v>
      </c>
      <c r="C75" s="116">
        <f>'EMFAC Model Results'!AI18</f>
        <v>8.8722391823454106E-4</v>
      </c>
      <c r="D75" s="116">
        <f>'EMFAC Model Results'!AI30</f>
        <v>8.8526757272652107E-4</v>
      </c>
      <c r="E75" s="116">
        <f>'EMFAC Model Results'!AI42</f>
        <v>8.7518318394895608E-4</v>
      </c>
      <c r="F75" s="116">
        <f>'EMFAC Model Results'!AI54</f>
        <v>8.6095269461392433E-4</v>
      </c>
      <c r="G75" s="116">
        <f>'EMFAC Model Results'!AI66</f>
        <v>8.5065216590153093E-4</v>
      </c>
      <c r="H75" s="117">
        <f>'EMFAC Model Results'!AI78</f>
        <v>8.481788643758787E-4</v>
      </c>
    </row>
    <row r="76" spans="2:8" x14ac:dyDescent="0.25">
      <c r="B76" s="113" t="s">
        <v>167</v>
      </c>
      <c r="C76" s="116">
        <f>'EMFAC Model Results'!AM18</f>
        <v>0.24784257957688588</v>
      </c>
      <c r="D76" s="116">
        <f>'EMFAC Model Results'!AM30</f>
        <v>0.24804221036881022</v>
      </c>
      <c r="E76" s="116">
        <f>'EMFAC Model Results'!AM42</f>
        <v>0.24830836632081621</v>
      </c>
      <c r="F76" s="116">
        <f>'EMFAC Model Results'!AM54</f>
        <v>0.24851693453649679</v>
      </c>
      <c r="G76" s="116">
        <f>'EMFAC Model Results'!AM66</f>
        <v>0.24879560706292631</v>
      </c>
      <c r="H76" s="117">
        <f>'EMFAC Model Results'!AM78</f>
        <v>0.24903883114203768</v>
      </c>
    </row>
    <row r="77" spans="2:8" x14ac:dyDescent="0.25">
      <c r="B77" s="113" t="s">
        <v>168</v>
      </c>
      <c r="C77" s="114">
        <f>'EMFAC Model Results'!AF19</f>
        <v>8905.5240456540105</v>
      </c>
      <c r="D77" s="114">
        <f>'EMFAC Model Results'!AF31</f>
        <v>8895.6488799335511</v>
      </c>
      <c r="E77" s="114">
        <f>'EMFAC Model Results'!AF43</f>
        <v>8882.5779744138126</v>
      </c>
      <c r="F77" s="114">
        <f>'EMFAC Model Results'!AF55</f>
        <v>8865.37284978561</v>
      </c>
      <c r="G77" s="114">
        <f>'EMFAC Model Results'!AF67</f>
        <v>8846.831790475042</v>
      </c>
      <c r="H77" s="115">
        <f>'EMFAC Model Results'!AF79</f>
        <v>8832.4060340406395</v>
      </c>
    </row>
    <row r="78" spans="2:8" x14ac:dyDescent="0.25">
      <c r="B78" s="113" t="s">
        <v>169</v>
      </c>
      <c r="C78" s="116">
        <f>'EMFAC Model Results'!AJ19</f>
        <v>0.16049561299317228</v>
      </c>
      <c r="D78" s="116">
        <f>'EMFAC Model Results'!AJ31</f>
        <v>0.16049728815602979</v>
      </c>
      <c r="E78" s="116">
        <f>'EMFAC Model Results'!AJ43</f>
        <v>0.1604998204764313</v>
      </c>
      <c r="F78" s="116">
        <f>'EMFAC Model Results'!AJ55</f>
        <v>0.16050215571517554</v>
      </c>
      <c r="G78" s="116">
        <f>'EMFAC Model Results'!AJ67</f>
        <v>0.16050345106647362</v>
      </c>
      <c r="H78" s="117">
        <f>'EMFAC Model Results'!AJ79</f>
        <v>0.16050461753715556</v>
      </c>
    </row>
    <row r="79" spans="2:8" ht="15.75" thickBot="1" x14ac:dyDescent="0.3">
      <c r="B79" s="118" t="s">
        <v>170</v>
      </c>
      <c r="C79" s="119">
        <f>'EMFAC Model Results'!AN19</f>
        <v>1.4030689400708038</v>
      </c>
      <c r="D79" s="119">
        <f>'EMFAC Model Results'!AN31</f>
        <v>1.4015131036899915</v>
      </c>
      <c r="E79" s="119">
        <f>'EMFAC Model Results'!AN43</f>
        <v>1.3994537772023723</v>
      </c>
      <c r="F79" s="119">
        <f>'EMFAC Model Results'!AN55</f>
        <v>1.3967431028105999</v>
      </c>
      <c r="G79" s="119">
        <f>'EMFAC Model Results'!AN67</f>
        <v>1.3938219513655759</v>
      </c>
      <c r="H79" s="120">
        <f>'EMFAC Model Results'!AN79</f>
        <v>1.3915491675646023</v>
      </c>
    </row>
    <row r="80" spans="2:8" x14ac:dyDescent="0.25">
      <c r="B80" s="122" t="s">
        <v>171</v>
      </c>
      <c r="C80" s="77"/>
      <c r="D80" s="77"/>
      <c r="E80" s="121"/>
      <c r="F80" s="121"/>
      <c r="G80" s="121"/>
      <c r="H80" s="121"/>
    </row>
    <row r="81" spans="2:10" x14ac:dyDescent="0.25">
      <c r="B81" s="16" t="s">
        <v>172</v>
      </c>
      <c r="E81" s="74"/>
      <c r="F81" s="74"/>
      <c r="G81" s="74"/>
      <c r="H81" s="74"/>
    </row>
    <row r="82" spans="2:10" x14ac:dyDescent="0.25">
      <c r="B82" s="16" t="s">
        <v>226</v>
      </c>
      <c r="E82" s="74"/>
      <c r="F82" s="74"/>
      <c r="G82" s="74"/>
      <c r="H82" s="74"/>
      <c r="I82" s="74"/>
      <c r="J82" s="74"/>
    </row>
    <row r="83" spans="2:10" x14ac:dyDescent="0.25">
      <c r="C83" s="74"/>
      <c r="D83" s="74"/>
      <c r="E83" s="74"/>
      <c r="F83" s="74"/>
      <c r="G83" s="74"/>
      <c r="H83" s="74"/>
      <c r="I83" s="74"/>
      <c r="J83" s="74"/>
    </row>
    <row r="84" spans="2:10" ht="15.75" thickBot="1" x14ac:dyDescent="0.3">
      <c r="B84" s="16"/>
      <c r="E84" s="73"/>
      <c r="F84" s="73"/>
      <c r="G84" s="73"/>
      <c r="H84" s="73"/>
      <c r="I84" s="73"/>
      <c r="J84" s="73"/>
    </row>
    <row r="85" spans="2:10" x14ac:dyDescent="0.25">
      <c r="B85" s="7" t="s">
        <v>183</v>
      </c>
      <c r="C85" s="9">
        <v>2</v>
      </c>
      <c r="E85" s="74"/>
      <c r="F85" s="74"/>
      <c r="G85" s="74"/>
      <c r="H85" s="74"/>
      <c r="I85" s="74"/>
      <c r="J85" s="74"/>
    </row>
    <row r="86" spans="2:10" ht="15.75" thickBot="1" x14ac:dyDescent="0.3">
      <c r="B86" s="12" t="s">
        <v>99</v>
      </c>
      <c r="C86" s="14"/>
      <c r="E86" s="74"/>
      <c r="F86" s="74"/>
      <c r="G86" s="74"/>
      <c r="H86" s="74"/>
      <c r="I86" s="74"/>
      <c r="J86" s="74"/>
    </row>
    <row r="87" spans="2:10" x14ac:dyDescent="0.25">
      <c r="B87" t="s">
        <v>225</v>
      </c>
    </row>
    <row r="88" spans="2:10" ht="15.75" thickBot="1" x14ac:dyDescent="0.3"/>
    <row r="89" spans="2:10" ht="15.75" thickBot="1" x14ac:dyDescent="0.3">
      <c r="B89" s="17" t="s">
        <v>184</v>
      </c>
      <c r="C89" s="52">
        <v>0.85</v>
      </c>
    </row>
    <row r="90" spans="2:10" ht="15.75" thickBot="1" x14ac:dyDescent="0.3">
      <c r="B90" s="46" t="s">
        <v>158</v>
      </c>
      <c r="C90" s="69">
        <v>5.0999999999999997E-2</v>
      </c>
    </row>
    <row r="91" spans="2:10" x14ac:dyDescent="0.25">
      <c r="B91" s="16" t="s">
        <v>185</v>
      </c>
      <c r="C91" s="53"/>
    </row>
    <row r="92" spans="2:10" x14ac:dyDescent="0.25">
      <c r="B92" t="s">
        <v>147</v>
      </c>
      <c r="C92" s="53"/>
    </row>
    <row r="93" spans="2:10" x14ac:dyDescent="0.25">
      <c r="B93" s="81" t="s">
        <v>181</v>
      </c>
      <c r="C93" s="53"/>
    </row>
    <row r="94" spans="2:10" x14ac:dyDescent="0.25">
      <c r="B94" s="16" t="s">
        <v>186</v>
      </c>
      <c r="C94" s="53"/>
    </row>
    <row r="95" spans="2:10" x14ac:dyDescent="0.25">
      <c r="B95" s="81" t="s">
        <v>180</v>
      </c>
      <c r="C95" s="53"/>
    </row>
    <row r="96" spans="2:10" x14ac:dyDescent="0.25">
      <c r="B96" s="81"/>
      <c r="C96" s="53"/>
    </row>
    <row r="97" spans="2:5" ht="15.75" thickBot="1" x14ac:dyDescent="0.3">
      <c r="B97" t="s">
        <v>213</v>
      </c>
    </row>
    <row r="98" spans="2:5" x14ac:dyDescent="0.25">
      <c r="B98" s="7" t="s">
        <v>216</v>
      </c>
      <c r="C98" s="32" t="s">
        <v>0</v>
      </c>
      <c r="D98" s="32" t="s">
        <v>2</v>
      </c>
      <c r="E98" s="33" t="s">
        <v>1</v>
      </c>
    </row>
    <row r="99" spans="2:5" x14ac:dyDescent="0.25">
      <c r="B99" s="10" t="s">
        <v>212</v>
      </c>
      <c r="C99" s="1">
        <v>497.4</v>
      </c>
      <c r="D99" s="1">
        <v>0.03</v>
      </c>
      <c r="E99" s="11">
        <v>4.0000000000000001E-3</v>
      </c>
    </row>
    <row r="100" spans="2:5" x14ac:dyDescent="0.25">
      <c r="B100" s="10" t="s">
        <v>215</v>
      </c>
      <c r="C100" s="22">
        <v>337.65</v>
      </c>
      <c r="D100" s="1">
        <v>0.03</v>
      </c>
      <c r="E100" s="11">
        <v>4.0000000000000001E-3</v>
      </c>
    </row>
    <row r="101" spans="2:5" ht="15.75" thickBot="1" x14ac:dyDescent="0.3">
      <c r="B101" s="12" t="s">
        <v>214</v>
      </c>
      <c r="C101" s="13">
        <v>0</v>
      </c>
      <c r="D101" s="13">
        <v>0</v>
      </c>
      <c r="E101" s="14">
        <v>0</v>
      </c>
    </row>
    <row r="102" spans="2:5" x14ac:dyDescent="0.25">
      <c r="B102" t="s">
        <v>205</v>
      </c>
    </row>
    <row r="103" spans="2:5" x14ac:dyDescent="0.25">
      <c r="B103" t="s">
        <v>206</v>
      </c>
    </row>
    <row r="104" spans="2:5" x14ac:dyDescent="0.25">
      <c r="B104" s="81" t="s">
        <v>182</v>
      </c>
    </row>
    <row r="105" spans="2:5" x14ac:dyDescent="0.25">
      <c r="B105" s="16" t="s">
        <v>223</v>
      </c>
    </row>
    <row r="106" spans="2:5" x14ac:dyDescent="0.25">
      <c r="B106" s="16" t="s">
        <v>253</v>
      </c>
    </row>
    <row r="107" spans="2:5" ht="15.75" thickBot="1" x14ac:dyDescent="0.3">
      <c r="B107" s="16"/>
    </row>
    <row r="108" spans="2:5" x14ac:dyDescent="0.25">
      <c r="B108" s="83" t="s">
        <v>217</v>
      </c>
      <c r="C108" s="32" t="s">
        <v>0</v>
      </c>
      <c r="D108" s="32" t="s">
        <v>2</v>
      </c>
      <c r="E108" s="33" t="s">
        <v>1</v>
      </c>
    </row>
    <row r="109" spans="2:5" ht="15.75" thickBot="1" x14ac:dyDescent="0.3">
      <c r="B109" s="12" t="s">
        <v>218</v>
      </c>
      <c r="C109" s="13">
        <v>1</v>
      </c>
      <c r="D109" s="13">
        <v>28</v>
      </c>
      <c r="E109" s="14">
        <v>265</v>
      </c>
    </row>
    <row r="110" spans="2:5" x14ac:dyDescent="0.25">
      <c r="B110" s="16" t="s">
        <v>254</v>
      </c>
    </row>
    <row r="111" spans="2:5" x14ac:dyDescent="0.25">
      <c r="B111" s="16" t="s">
        <v>219</v>
      </c>
    </row>
    <row r="112" spans="2:5" x14ac:dyDescent="0.25">
      <c r="B112" s="16"/>
    </row>
    <row r="113" spans="2:5" ht="15.75" thickBot="1" x14ac:dyDescent="0.3">
      <c r="B113" s="16"/>
    </row>
    <row r="114" spans="2:5" ht="14.45" customHeight="1" x14ac:dyDescent="0.25">
      <c r="B114" s="182" t="s">
        <v>255</v>
      </c>
      <c r="C114" s="184">
        <v>2030</v>
      </c>
      <c r="D114" s="185"/>
      <c r="E114" s="186"/>
    </row>
    <row r="115" spans="2:5" x14ac:dyDescent="0.25">
      <c r="B115" s="183"/>
      <c r="C115" s="4" t="s">
        <v>102</v>
      </c>
      <c r="D115" s="4" t="s">
        <v>103</v>
      </c>
      <c r="E115" s="41" t="s">
        <v>104</v>
      </c>
    </row>
    <row r="116" spans="2:5" x14ac:dyDescent="0.25">
      <c r="B116" s="10" t="s">
        <v>220</v>
      </c>
      <c r="C116" s="39">
        <f>'EMFAC Model Results'!M78</f>
        <v>2.0162788296852501</v>
      </c>
      <c r="D116" s="43">
        <f>'EMFAC Model Results'!Q78</f>
        <v>3.0988044221130041E-2</v>
      </c>
      <c r="E116" s="44">
        <f>'EMFAC Model Results'!X78</f>
        <v>3.2389186073399835E-2</v>
      </c>
    </row>
    <row r="117" spans="2:5" ht="15.75" thickBot="1" x14ac:dyDescent="0.3">
      <c r="B117" s="12" t="s">
        <v>221</v>
      </c>
      <c r="C117" s="152">
        <f>'EMFAC Model Results'!N79</f>
        <v>41.209401344071779</v>
      </c>
      <c r="D117" s="35">
        <f>'EMFAC Model Results'!R79</f>
        <v>1.4073489115466882E-2</v>
      </c>
      <c r="E117" s="80">
        <f>'EMFAC Model Results'!Y79</f>
        <v>1.4709829843085255E-2</v>
      </c>
    </row>
    <row r="118" spans="2:5" x14ac:dyDescent="0.25">
      <c r="B118" s="16" t="s">
        <v>222</v>
      </c>
    </row>
    <row r="119" spans="2:5" x14ac:dyDescent="0.25">
      <c r="B119" s="16" t="s">
        <v>226</v>
      </c>
    </row>
    <row r="120" spans="2:5" x14ac:dyDescent="0.25">
      <c r="B120" s="16"/>
    </row>
    <row r="121" spans="2:5" ht="15.75" thickBot="1" x14ac:dyDescent="0.3">
      <c r="B121" s="16"/>
    </row>
    <row r="122" spans="2:5" x14ac:dyDescent="0.25">
      <c r="B122" s="83" t="s">
        <v>395</v>
      </c>
      <c r="C122" s="9">
        <v>18</v>
      </c>
    </row>
    <row r="123" spans="2:5" ht="15.75" thickBot="1" x14ac:dyDescent="0.3">
      <c r="B123" s="145" t="s">
        <v>394</v>
      </c>
      <c r="C123" s="14"/>
    </row>
    <row r="124" spans="2:5" x14ac:dyDescent="0.25">
      <c r="B124" s="16" t="s">
        <v>396</v>
      </c>
    </row>
    <row r="125" spans="2:5" x14ac:dyDescent="0.25">
      <c r="B125" s="81" t="s">
        <v>397</v>
      </c>
    </row>
    <row r="126" spans="2:5" ht="15.75" thickBot="1" x14ac:dyDescent="0.3">
      <c r="B126" s="81"/>
    </row>
    <row r="127" spans="2:5" ht="15.75" thickBot="1" x14ac:dyDescent="0.3">
      <c r="B127" s="17" t="s">
        <v>411</v>
      </c>
      <c r="C127" s="151">
        <v>129488</v>
      </c>
    </row>
    <row r="128" spans="2:5" x14ac:dyDescent="0.25">
      <c r="B128" s="16" t="s">
        <v>412</v>
      </c>
      <c r="C128" s="2"/>
    </row>
    <row r="129" spans="2:3" x14ac:dyDescent="0.25">
      <c r="B129" s="16"/>
    </row>
    <row r="130" spans="2:3" ht="15.75" thickBot="1" x14ac:dyDescent="0.3"/>
    <row r="131" spans="2:3" ht="15.75" thickBot="1" x14ac:dyDescent="0.3">
      <c r="B131" s="49" t="s">
        <v>224</v>
      </c>
      <c r="C131" s="50">
        <v>10</v>
      </c>
    </row>
    <row r="132" spans="2:3" x14ac:dyDescent="0.25">
      <c r="B132" s="16" t="s">
        <v>300</v>
      </c>
    </row>
  </sheetData>
  <mergeCells count="37">
    <mergeCell ref="B46:C46"/>
    <mergeCell ref="B47:C47"/>
    <mergeCell ref="B48:C48"/>
    <mergeCell ref="B27:C27"/>
    <mergeCell ref="B114:B115"/>
    <mergeCell ref="C114:E114"/>
    <mergeCell ref="B54:C54"/>
    <mergeCell ref="B62:C62"/>
    <mergeCell ref="B59:C59"/>
    <mergeCell ref="B38:C38"/>
    <mergeCell ref="B39:C39"/>
    <mergeCell ref="B40:C40"/>
    <mergeCell ref="B60:C60"/>
    <mergeCell ref="B61:C61"/>
    <mergeCell ref="B45:C45"/>
    <mergeCell ref="B55:C55"/>
    <mergeCell ref="B7:C7"/>
    <mergeCell ref="B8:C8"/>
    <mergeCell ref="B9:C9"/>
    <mergeCell ref="B10:C10"/>
    <mergeCell ref="B11:C11"/>
    <mergeCell ref="B12:C12"/>
    <mergeCell ref="B31:C31"/>
    <mergeCell ref="B41:C41"/>
    <mergeCell ref="B52:C52"/>
    <mergeCell ref="B53:C53"/>
    <mergeCell ref="B13:C13"/>
    <mergeCell ref="B14:C14"/>
    <mergeCell ref="B15:C15"/>
    <mergeCell ref="B25:C25"/>
    <mergeCell ref="B26:C26"/>
    <mergeCell ref="B28:C28"/>
    <mergeCell ref="B29:C29"/>
    <mergeCell ref="B30:C30"/>
    <mergeCell ref="B35:C35"/>
    <mergeCell ref="B36:C36"/>
    <mergeCell ref="B37:C37"/>
  </mergeCells>
  <hyperlinks>
    <hyperlink ref="B95" r:id="rId1" location="What%20is%20Grid%20Gross%20Loss" xr:uid="{00000000-0004-0000-0500-000000000000}"/>
    <hyperlink ref="B93" r:id="rId2" display="https://afdc.energy.gov/files/pdfs/argonne_phev_evaluation_report.pdf" xr:uid="{00000000-0004-0000-0500-000001000000}"/>
    <hyperlink ref="B104" r:id="rId3" xr:uid="{00000000-0004-0000-0500-000002000000}"/>
    <hyperlink ref="B125" r:id="rId4" xr:uid="{9E6A472E-6704-4301-BB74-68A518F1C48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AB150"/>
  <sheetViews>
    <sheetView workbookViewId="0">
      <selection activeCell="K23" sqref="K23"/>
    </sheetView>
  </sheetViews>
  <sheetFormatPr defaultRowHeight="15" x14ac:dyDescent="0.25"/>
  <cols>
    <col min="2" max="2" width="49.42578125" customWidth="1"/>
    <col min="3" max="3" width="10.85546875" customWidth="1"/>
    <col min="4" max="4" width="11.28515625" customWidth="1"/>
    <col min="5" max="8" width="9.5703125" bestFit="1" customWidth="1"/>
    <col min="9" max="10" width="9.140625" customWidth="1"/>
    <col min="11" max="17" width="9.5703125" bestFit="1" customWidth="1"/>
    <col min="18" max="18" width="9.140625" customWidth="1"/>
    <col min="19" max="28" width="9.5703125" bestFit="1" customWidth="1"/>
  </cols>
  <sheetData>
    <row r="3" spans="2:28" ht="15.75" x14ac:dyDescent="0.25">
      <c r="B3" s="48" t="s">
        <v>448</v>
      </c>
    </row>
    <row r="4" spans="2:28" ht="15.75" thickBot="1" x14ac:dyDescent="0.3"/>
    <row r="5" spans="2:28" x14ac:dyDescent="0.25">
      <c r="B5" s="56"/>
      <c r="C5" s="61">
        <v>2025</v>
      </c>
      <c r="D5" s="61">
        <v>2026</v>
      </c>
      <c r="E5" s="61">
        <v>2027</v>
      </c>
      <c r="F5" s="61">
        <v>2028</v>
      </c>
      <c r="G5" s="61">
        <v>2029</v>
      </c>
      <c r="H5" s="61">
        <v>2030</v>
      </c>
      <c r="I5" s="94">
        <v>2031</v>
      </c>
      <c r="J5" s="61">
        <v>2032</v>
      </c>
      <c r="K5" s="61">
        <v>2033</v>
      </c>
      <c r="L5" s="61">
        <v>2034</v>
      </c>
      <c r="M5" s="61">
        <v>2035</v>
      </c>
      <c r="N5" s="61">
        <v>2036</v>
      </c>
      <c r="O5" s="61">
        <v>2037</v>
      </c>
      <c r="P5" s="61">
        <v>2038</v>
      </c>
      <c r="Q5" s="61">
        <v>2039</v>
      </c>
      <c r="R5" s="61">
        <v>2040</v>
      </c>
      <c r="S5" s="61">
        <v>2041</v>
      </c>
      <c r="T5" s="61">
        <v>2042</v>
      </c>
      <c r="U5" s="61">
        <v>2043</v>
      </c>
      <c r="V5" s="61">
        <v>2044</v>
      </c>
      <c r="W5" s="61">
        <v>2045</v>
      </c>
      <c r="X5" s="61">
        <v>2046</v>
      </c>
      <c r="Y5" s="61">
        <v>2047</v>
      </c>
      <c r="Z5" s="61">
        <v>2048</v>
      </c>
      <c r="AA5" s="61">
        <v>2049</v>
      </c>
      <c r="AB5" s="62">
        <v>2050</v>
      </c>
    </row>
    <row r="6" spans="2:28" x14ac:dyDescent="0.25">
      <c r="B6" s="57" t="s">
        <v>265</v>
      </c>
      <c r="C6" s="55">
        <f>'Number of ZE Units'!C13</f>
        <v>0</v>
      </c>
      <c r="D6" s="55">
        <f>'Number of ZE Units'!D13</f>
        <v>30</v>
      </c>
      <c r="E6" s="55">
        <f>'Number of ZE Units'!E13</f>
        <v>40</v>
      </c>
      <c r="F6" s="55">
        <f>'Number of ZE Units'!F13</f>
        <v>0</v>
      </c>
      <c r="G6" s="55">
        <f>'Number of ZE Units'!G13</f>
        <v>0</v>
      </c>
      <c r="H6" s="55">
        <f>'Number of ZE Units'!H13</f>
        <v>0</v>
      </c>
      <c r="I6" s="95"/>
      <c r="J6" s="55"/>
      <c r="K6" s="55"/>
      <c r="L6" s="55"/>
      <c r="M6" s="55"/>
      <c r="N6" s="55"/>
      <c r="O6" s="55"/>
      <c r="P6" s="55"/>
      <c r="Q6" s="55"/>
      <c r="R6" s="55"/>
      <c r="S6" s="55"/>
      <c r="T6" s="55"/>
      <c r="U6" s="55"/>
      <c r="V6" s="55"/>
      <c r="W6" s="55"/>
      <c r="X6" s="55"/>
      <c r="Y6" s="55"/>
      <c r="Z6" s="55"/>
      <c r="AA6" s="55"/>
      <c r="AB6" s="58"/>
    </row>
    <row r="7" spans="2:28" x14ac:dyDescent="0.25">
      <c r="B7" s="57" t="s">
        <v>266</v>
      </c>
      <c r="C7" s="55"/>
      <c r="D7" s="55">
        <f>C7+D6</f>
        <v>30</v>
      </c>
      <c r="E7" s="55">
        <f t="shared" ref="E7:K7" si="0">D7+E6</f>
        <v>70</v>
      </c>
      <c r="F7" s="55">
        <f t="shared" si="0"/>
        <v>70</v>
      </c>
      <c r="G7" s="55">
        <f t="shared" si="0"/>
        <v>70</v>
      </c>
      <c r="H7" s="55">
        <f t="shared" si="0"/>
        <v>70</v>
      </c>
      <c r="I7" s="95">
        <f t="shared" si="0"/>
        <v>70</v>
      </c>
      <c r="J7" s="55">
        <f t="shared" si="0"/>
        <v>70</v>
      </c>
      <c r="K7" s="55">
        <f t="shared" si="0"/>
        <v>70</v>
      </c>
      <c r="L7" s="55">
        <f t="shared" ref="L7" si="1">K7+L6</f>
        <v>70</v>
      </c>
      <c r="M7" s="55">
        <f t="shared" ref="M7" si="2">L7+M6</f>
        <v>70</v>
      </c>
      <c r="N7" s="55">
        <f t="shared" ref="N7" si="3">M7+N6</f>
        <v>70</v>
      </c>
      <c r="O7" s="55">
        <f t="shared" ref="O7" si="4">N7+O6</f>
        <v>70</v>
      </c>
      <c r="P7" s="55">
        <f t="shared" ref="P7" si="5">O7+P6</f>
        <v>70</v>
      </c>
      <c r="Q7" s="55">
        <f t="shared" ref="Q7" si="6">P7+Q6</f>
        <v>70</v>
      </c>
      <c r="R7" s="55">
        <f t="shared" ref="R7" si="7">Q7+R6</f>
        <v>70</v>
      </c>
      <c r="S7" s="55">
        <f t="shared" ref="S7" si="8">R7+S6</f>
        <v>70</v>
      </c>
      <c r="T7" s="55">
        <f t="shared" ref="T7" si="9">S7+T6</f>
        <v>70</v>
      </c>
      <c r="U7" s="55">
        <f t="shared" ref="U7" si="10">T7+U6</f>
        <v>70</v>
      </c>
      <c r="V7" s="55">
        <f t="shared" ref="V7" si="11">U7+V6</f>
        <v>70</v>
      </c>
      <c r="W7" s="55">
        <f t="shared" ref="W7" si="12">V7+W6</f>
        <v>70</v>
      </c>
      <c r="X7" s="55">
        <f t="shared" ref="X7" si="13">W7+X6</f>
        <v>70</v>
      </c>
      <c r="Y7" s="55">
        <f t="shared" ref="Y7" si="14">X7+Y6</f>
        <v>70</v>
      </c>
      <c r="Z7" s="55">
        <f t="shared" ref="Z7" si="15">Y7+Z6</f>
        <v>70</v>
      </c>
      <c r="AA7" s="55">
        <f t="shared" ref="AA7" si="16">Z7+AA6</f>
        <v>70</v>
      </c>
      <c r="AB7" s="58">
        <f t="shared" ref="AB7" si="17">AA7+AB6</f>
        <v>70</v>
      </c>
    </row>
    <row r="8" spans="2:28" x14ac:dyDescent="0.25">
      <c r="B8" s="57" t="s">
        <v>267</v>
      </c>
      <c r="C8" s="55">
        <f>'Number of ZE Units'!C15</f>
        <v>0</v>
      </c>
      <c r="D8" s="55">
        <f>'Number of ZE Units'!D15</f>
        <v>179</v>
      </c>
      <c r="E8" s="55">
        <f>'Number of ZE Units'!E15</f>
        <v>194</v>
      </c>
      <c r="F8" s="55">
        <f>'Number of ZE Units'!F15</f>
        <v>0</v>
      </c>
      <c r="G8" s="55">
        <f>'Number of ZE Units'!G15</f>
        <v>0</v>
      </c>
      <c r="H8" s="55">
        <f>'Number of ZE Units'!H15</f>
        <v>0</v>
      </c>
      <c r="I8" s="95"/>
      <c r="J8" s="55"/>
      <c r="K8" s="55"/>
      <c r="L8" s="55"/>
      <c r="M8" s="55"/>
      <c r="N8" s="55"/>
      <c r="O8" s="55"/>
      <c r="P8" s="55"/>
      <c r="Q8" s="55"/>
      <c r="R8" s="55"/>
      <c r="S8" s="55"/>
      <c r="T8" s="55"/>
      <c r="U8" s="55"/>
      <c r="V8" s="55"/>
      <c r="W8" s="55"/>
      <c r="X8" s="55"/>
      <c r="Y8" s="55"/>
      <c r="Z8" s="55"/>
      <c r="AA8" s="55"/>
      <c r="AB8" s="58"/>
    </row>
    <row r="9" spans="2:28" x14ac:dyDescent="0.25">
      <c r="B9" s="57" t="s">
        <v>266</v>
      </c>
      <c r="C9" s="55"/>
      <c r="D9" s="55">
        <f>C9+D8</f>
        <v>179</v>
      </c>
      <c r="E9" s="55">
        <f t="shared" ref="E9:AB9" si="18">D9+E8</f>
        <v>373</v>
      </c>
      <c r="F9" s="55">
        <f t="shared" si="18"/>
        <v>373</v>
      </c>
      <c r="G9" s="55">
        <f t="shared" si="18"/>
        <v>373</v>
      </c>
      <c r="H9" s="55">
        <f t="shared" si="18"/>
        <v>373</v>
      </c>
      <c r="I9" s="95">
        <f t="shared" si="18"/>
        <v>373</v>
      </c>
      <c r="J9" s="55">
        <f t="shared" si="18"/>
        <v>373</v>
      </c>
      <c r="K9" s="55">
        <f t="shared" si="18"/>
        <v>373</v>
      </c>
      <c r="L9" s="55">
        <f t="shared" si="18"/>
        <v>373</v>
      </c>
      <c r="M9" s="55">
        <f t="shared" si="18"/>
        <v>373</v>
      </c>
      <c r="N9" s="55">
        <f t="shared" si="18"/>
        <v>373</v>
      </c>
      <c r="O9" s="55">
        <f t="shared" si="18"/>
        <v>373</v>
      </c>
      <c r="P9" s="55">
        <f t="shared" si="18"/>
        <v>373</v>
      </c>
      <c r="Q9" s="55">
        <f t="shared" si="18"/>
        <v>373</v>
      </c>
      <c r="R9" s="55">
        <f t="shared" si="18"/>
        <v>373</v>
      </c>
      <c r="S9" s="55">
        <f t="shared" si="18"/>
        <v>373</v>
      </c>
      <c r="T9" s="55">
        <f t="shared" si="18"/>
        <v>373</v>
      </c>
      <c r="U9" s="55">
        <f t="shared" si="18"/>
        <v>373</v>
      </c>
      <c r="V9" s="55">
        <f t="shared" si="18"/>
        <v>373</v>
      </c>
      <c r="W9" s="55">
        <f t="shared" si="18"/>
        <v>373</v>
      </c>
      <c r="X9" s="55">
        <f t="shared" si="18"/>
        <v>373</v>
      </c>
      <c r="Y9" s="55">
        <f t="shared" si="18"/>
        <v>373</v>
      </c>
      <c r="Z9" s="55">
        <f t="shared" si="18"/>
        <v>373</v>
      </c>
      <c r="AA9" s="55">
        <f t="shared" si="18"/>
        <v>373</v>
      </c>
      <c r="AB9" s="58">
        <f t="shared" si="18"/>
        <v>373</v>
      </c>
    </row>
    <row r="10" spans="2:28" x14ac:dyDescent="0.25">
      <c r="B10" s="57" t="s">
        <v>268</v>
      </c>
      <c r="C10" s="55">
        <f>'Number of ZE Units'!C17</f>
        <v>0</v>
      </c>
      <c r="D10" s="55">
        <f>'Number of ZE Units'!D17</f>
        <v>179</v>
      </c>
      <c r="E10" s="55">
        <f>'Number of ZE Units'!E17</f>
        <v>194</v>
      </c>
      <c r="F10" s="55">
        <f>'Number of ZE Units'!F17</f>
        <v>0</v>
      </c>
      <c r="G10" s="55">
        <f>'Number of ZE Units'!G17</f>
        <v>0</v>
      </c>
      <c r="H10" s="55">
        <f>'Number of ZE Units'!H17</f>
        <v>0</v>
      </c>
      <c r="I10" s="95"/>
      <c r="J10" s="55"/>
      <c r="K10" s="55"/>
      <c r="L10" s="55"/>
      <c r="M10" s="55"/>
      <c r="N10" s="55"/>
      <c r="O10" s="55"/>
      <c r="P10" s="55"/>
      <c r="Q10" s="55"/>
      <c r="R10" s="55"/>
      <c r="S10" s="55"/>
      <c r="T10" s="55"/>
      <c r="U10" s="55"/>
      <c r="V10" s="55"/>
      <c r="W10" s="55"/>
      <c r="X10" s="55"/>
      <c r="Y10" s="55"/>
      <c r="Z10" s="55"/>
      <c r="AA10" s="55"/>
      <c r="AB10" s="58"/>
    </row>
    <row r="11" spans="2:28" ht="15.75" thickBot="1" x14ac:dyDescent="0.3">
      <c r="B11" s="63" t="s">
        <v>266</v>
      </c>
      <c r="C11" s="59"/>
      <c r="D11" s="59">
        <f>C11+D10</f>
        <v>179</v>
      </c>
      <c r="E11" s="59">
        <f t="shared" ref="E11:AB11" si="19">D11+E10</f>
        <v>373</v>
      </c>
      <c r="F11" s="59">
        <f t="shared" si="19"/>
        <v>373</v>
      </c>
      <c r="G11" s="59">
        <f t="shared" si="19"/>
        <v>373</v>
      </c>
      <c r="H11" s="59">
        <f t="shared" si="19"/>
        <v>373</v>
      </c>
      <c r="I11" s="96">
        <f t="shared" si="19"/>
        <v>373</v>
      </c>
      <c r="J11" s="59">
        <f t="shared" si="19"/>
        <v>373</v>
      </c>
      <c r="K11" s="59">
        <f t="shared" si="19"/>
        <v>373</v>
      </c>
      <c r="L11" s="59">
        <f t="shared" si="19"/>
        <v>373</v>
      </c>
      <c r="M11" s="59">
        <f t="shared" si="19"/>
        <v>373</v>
      </c>
      <c r="N11" s="59">
        <f t="shared" si="19"/>
        <v>373</v>
      </c>
      <c r="O11" s="59">
        <f t="shared" si="19"/>
        <v>373</v>
      </c>
      <c r="P11" s="59">
        <f t="shared" si="19"/>
        <v>373</v>
      </c>
      <c r="Q11" s="59">
        <f t="shared" si="19"/>
        <v>373</v>
      </c>
      <c r="R11" s="59">
        <f t="shared" si="19"/>
        <v>373</v>
      </c>
      <c r="S11" s="59">
        <f t="shared" si="19"/>
        <v>373</v>
      </c>
      <c r="T11" s="59">
        <f t="shared" si="19"/>
        <v>373</v>
      </c>
      <c r="U11" s="59">
        <f t="shared" si="19"/>
        <v>373</v>
      </c>
      <c r="V11" s="59">
        <f t="shared" si="19"/>
        <v>373</v>
      </c>
      <c r="W11" s="59">
        <f t="shared" si="19"/>
        <v>373</v>
      </c>
      <c r="X11" s="59">
        <f t="shared" si="19"/>
        <v>373</v>
      </c>
      <c r="Y11" s="59">
        <f t="shared" si="19"/>
        <v>373</v>
      </c>
      <c r="Z11" s="59">
        <f t="shared" si="19"/>
        <v>373</v>
      </c>
      <c r="AA11" s="59">
        <f t="shared" si="19"/>
        <v>373</v>
      </c>
      <c r="AB11" s="60">
        <f t="shared" si="19"/>
        <v>373</v>
      </c>
    </row>
    <row r="12" spans="2:28" x14ac:dyDescent="0.25">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row>
    <row r="14" spans="2:28" ht="16.5" thickBot="1" x14ac:dyDescent="0.3">
      <c r="B14" s="48" t="s">
        <v>140</v>
      </c>
    </row>
    <row r="15" spans="2:28" x14ac:dyDescent="0.25">
      <c r="B15" s="7" t="s">
        <v>295</v>
      </c>
      <c r="C15" s="8">
        <v>2025</v>
      </c>
      <c r="D15" s="8">
        <v>2026</v>
      </c>
      <c r="E15" s="8">
        <v>2027</v>
      </c>
      <c r="F15" s="8">
        <v>2028</v>
      </c>
      <c r="G15" s="8">
        <v>2029</v>
      </c>
      <c r="H15" s="33" t="s">
        <v>123</v>
      </c>
    </row>
    <row r="16" spans="2:28" x14ac:dyDescent="0.25">
      <c r="B16" s="10" t="s">
        <v>96</v>
      </c>
      <c r="C16" s="3">
        <v>54788</v>
      </c>
      <c r="D16" s="3">
        <v>54788</v>
      </c>
      <c r="E16" s="3">
        <v>54788</v>
      </c>
      <c r="F16" s="3">
        <v>54788</v>
      </c>
      <c r="G16" s="3">
        <v>54788</v>
      </c>
      <c r="H16" s="28">
        <v>54788</v>
      </c>
    </row>
    <row r="17" spans="2:8" x14ac:dyDescent="0.25">
      <c r="B17" s="10" t="s">
        <v>400</v>
      </c>
      <c r="C17" s="146">
        <f>'EMFAC Model Results'!BP20</f>
        <v>5.9520749233171024</v>
      </c>
      <c r="D17" s="146">
        <f>'EMFAC Model Results'!BP32</f>
        <v>5.9232160057795546</v>
      </c>
      <c r="E17" s="146">
        <f>'EMFAC Model Results'!BP44</f>
        <v>5.8941397484506748</v>
      </c>
      <c r="F17" s="146">
        <f>'EMFAC Model Results'!BP56</f>
        <v>5.8677973965938328</v>
      </c>
      <c r="G17" s="146">
        <f>'EMFAC Model Results'!BP68</f>
        <v>5.8411902161231604</v>
      </c>
      <c r="H17" s="147">
        <f>'EMFAC Model Results'!BP80</f>
        <v>5.8169432381446065</v>
      </c>
    </row>
    <row r="18" spans="2:8" x14ac:dyDescent="0.25">
      <c r="B18" s="10" t="s">
        <v>165</v>
      </c>
      <c r="C18" s="102">
        <f>'EMFAC Model Results'!AE18</f>
        <v>1573.1002154801413</v>
      </c>
      <c r="D18" s="102">
        <f>'EMFAC Model Results'!AE30</f>
        <v>1574.3673070441864</v>
      </c>
      <c r="E18" s="102">
        <f>'EMFAC Model Results'!AE42</f>
        <v>1576.0566454386064</v>
      </c>
      <c r="F18" s="102">
        <f>'EMFAC Model Results'!AE54</f>
        <v>1577.380464394935</v>
      </c>
      <c r="G18" s="102">
        <f>'EMFAC Model Results'!AE66</f>
        <v>1579.1492476771411</v>
      </c>
      <c r="H18" s="27">
        <f>'EMFAC Model Results'!AE78</f>
        <v>1580.6930334621061</v>
      </c>
    </row>
    <row r="19" spans="2:8" x14ac:dyDescent="0.25">
      <c r="B19" s="10" t="s">
        <v>166</v>
      </c>
      <c r="C19" s="23">
        <f>'EMFAC Model Results'!AI18</f>
        <v>8.8722391823454106E-4</v>
      </c>
      <c r="D19" s="23">
        <f>'EMFAC Model Results'!AI30</f>
        <v>8.8526757272652107E-4</v>
      </c>
      <c r="E19" s="23">
        <f>'EMFAC Model Results'!AI42</f>
        <v>8.7518318394895608E-4</v>
      </c>
      <c r="F19" s="23">
        <f>'EMFAC Model Results'!AI54</f>
        <v>8.6095269461392433E-4</v>
      </c>
      <c r="G19" s="23">
        <f>'EMFAC Model Results'!AI66</f>
        <v>8.5065216590153093E-4</v>
      </c>
      <c r="H19" s="24">
        <f>'EMFAC Model Results'!AI78</f>
        <v>8.481788643758787E-4</v>
      </c>
    </row>
    <row r="20" spans="2:8" x14ac:dyDescent="0.25">
      <c r="B20" s="10" t="s">
        <v>167</v>
      </c>
      <c r="C20" s="23">
        <f>'EMFAC Model Results'!AM18</f>
        <v>0.24784257957688588</v>
      </c>
      <c r="D20" s="23">
        <f>'EMFAC Model Results'!AM30</f>
        <v>0.24804221036881022</v>
      </c>
      <c r="E20" s="23">
        <f>'EMFAC Model Results'!AM42</f>
        <v>0.24830836632081621</v>
      </c>
      <c r="F20" s="23">
        <f>'EMFAC Model Results'!AM54</f>
        <v>0.24851693453649679</v>
      </c>
      <c r="G20" s="23">
        <f>'EMFAC Model Results'!AM66</f>
        <v>0.24879560706292631</v>
      </c>
      <c r="H20" s="24">
        <f>'EMFAC Model Results'!AM78</f>
        <v>0.24903883114203768</v>
      </c>
    </row>
    <row r="21" spans="2:8" x14ac:dyDescent="0.25">
      <c r="B21" s="10" t="s">
        <v>168</v>
      </c>
      <c r="C21" s="102">
        <f>'EMFAC Model Results'!AF19</f>
        <v>8905.5240456540105</v>
      </c>
      <c r="D21" s="102">
        <f>'EMFAC Model Results'!AF31</f>
        <v>8895.6488799335511</v>
      </c>
      <c r="E21" s="102">
        <f>'EMFAC Model Results'!AF43</f>
        <v>8882.5779744138126</v>
      </c>
      <c r="F21" s="102">
        <f>'EMFAC Model Results'!AF55</f>
        <v>8865.37284978561</v>
      </c>
      <c r="G21" s="102">
        <f>'EMFAC Model Results'!AF67</f>
        <v>8846.831790475042</v>
      </c>
      <c r="H21" s="27">
        <f>'EMFAC Model Results'!AF79</f>
        <v>8832.4060340406395</v>
      </c>
    </row>
    <row r="22" spans="2:8" x14ac:dyDescent="0.25">
      <c r="B22" s="10" t="s">
        <v>169</v>
      </c>
      <c r="C22" s="23">
        <f>'EMFAC Model Results'!AJ19</f>
        <v>0.16049561299317228</v>
      </c>
      <c r="D22" s="23">
        <f>'EMFAC Model Results'!AJ31</f>
        <v>0.16049728815602979</v>
      </c>
      <c r="E22" s="23">
        <f>'EMFAC Model Results'!AJ43</f>
        <v>0.1604998204764313</v>
      </c>
      <c r="F22" s="23">
        <f>'EMFAC Model Results'!AJ55</f>
        <v>0.16050215571517554</v>
      </c>
      <c r="G22" s="23">
        <f>'EMFAC Model Results'!AJ67</f>
        <v>0.16050345106647362</v>
      </c>
      <c r="H22" s="24">
        <f>'EMFAC Model Results'!AJ79</f>
        <v>0.16050461753715556</v>
      </c>
    </row>
    <row r="23" spans="2:8" ht="15.75" thickBot="1" x14ac:dyDescent="0.3">
      <c r="B23" s="12" t="s">
        <v>170</v>
      </c>
      <c r="C23" s="25">
        <f>'EMFAC Model Results'!AN19</f>
        <v>1.4030689400708038</v>
      </c>
      <c r="D23" s="25">
        <f>'EMFAC Model Results'!AN31</f>
        <v>1.4015131036899915</v>
      </c>
      <c r="E23" s="25">
        <f>'EMFAC Model Results'!AN43</f>
        <v>1.3994537772023723</v>
      </c>
      <c r="F23" s="25">
        <f>'EMFAC Model Results'!AN55</f>
        <v>1.3967431028105999</v>
      </c>
      <c r="G23" s="25">
        <f>'EMFAC Model Results'!AN67</f>
        <v>1.3938219513655759</v>
      </c>
      <c r="H23" s="26">
        <f>'EMFAC Model Results'!AN79</f>
        <v>1.3915491675646023</v>
      </c>
    </row>
    <row r="24" spans="2:8" x14ac:dyDescent="0.25">
      <c r="B24" s="16" t="s">
        <v>171</v>
      </c>
      <c r="E24" s="74"/>
      <c r="F24" s="74"/>
      <c r="G24" s="74"/>
      <c r="H24" s="74"/>
    </row>
    <row r="25" spans="2:8" x14ac:dyDescent="0.25">
      <c r="B25" s="16" t="s">
        <v>172</v>
      </c>
      <c r="E25" s="74"/>
      <c r="F25" s="74"/>
      <c r="G25" s="74"/>
      <c r="H25" s="74"/>
    </row>
    <row r="26" spans="2:8" x14ac:dyDescent="0.25">
      <c r="B26" s="16" t="s">
        <v>226</v>
      </c>
      <c r="E26" s="74"/>
      <c r="F26" s="74"/>
      <c r="G26" s="74"/>
      <c r="H26" s="74"/>
    </row>
    <row r="27" spans="2:8" ht="15.75" thickBot="1" x14ac:dyDescent="0.3">
      <c r="C27" s="74"/>
      <c r="D27" s="74"/>
      <c r="E27" s="74"/>
      <c r="F27" s="74"/>
      <c r="G27" s="74"/>
      <c r="H27" s="74"/>
    </row>
    <row r="28" spans="2:8" ht="15.75" thickBot="1" x14ac:dyDescent="0.3">
      <c r="B28" s="15" t="s">
        <v>296</v>
      </c>
      <c r="C28" s="17">
        <v>2025</v>
      </c>
      <c r="D28" s="18">
        <v>2026</v>
      </c>
      <c r="E28" s="18">
        <v>2027</v>
      </c>
      <c r="F28" s="18">
        <v>2028</v>
      </c>
      <c r="G28" s="18">
        <v>2029</v>
      </c>
      <c r="H28" s="31" t="s">
        <v>123</v>
      </c>
    </row>
    <row r="29" spans="2:8" x14ac:dyDescent="0.25">
      <c r="B29" s="7" t="s">
        <v>173</v>
      </c>
      <c r="C29" s="101">
        <f>'EMFAC Model Results'!H92</f>
        <v>9859.8608831830843</v>
      </c>
      <c r="D29" s="101">
        <f>'EMFAC Model Results'!H114</f>
        <v>9648.8070288910931</v>
      </c>
      <c r="E29" s="101">
        <f>'EMFAC Model Results'!H136</f>
        <v>9465.4105011180018</v>
      </c>
      <c r="F29" s="101">
        <f>'EMFAC Model Results'!H158</f>
        <v>9309.913144622602</v>
      </c>
      <c r="G29" s="101">
        <f>'EMFAC Model Results'!H180</f>
        <v>9182.9241693702152</v>
      </c>
      <c r="H29" s="149">
        <f>'EMFAC Model Results'!H202</f>
        <v>9085.4116602714148</v>
      </c>
    </row>
    <row r="30" spans="2:8" x14ac:dyDescent="0.25">
      <c r="B30" s="10" t="s">
        <v>402</v>
      </c>
      <c r="C30" s="148">
        <f>'EMFAC Model Results'!BP92</f>
        <v>8.7723632709133224</v>
      </c>
      <c r="D30" s="148">
        <f>'EMFAC Model Results'!BP114</f>
        <v>8.7512188350352922</v>
      </c>
      <c r="E30" s="148">
        <f>'EMFAC Model Results'!BP136</f>
        <v>8.723216917091273</v>
      </c>
      <c r="F30" s="148">
        <f>'EMFAC Model Results'!BP158</f>
        <v>8.7070991816540371</v>
      </c>
      <c r="G30" s="148">
        <f>'EMFAC Model Results'!BP180</f>
        <v>8.6930495040786937</v>
      </c>
      <c r="H30" s="150">
        <f>'EMFAC Model Results'!BP202</f>
        <v>8.6799917175434818</v>
      </c>
    </row>
    <row r="31" spans="2:8" x14ac:dyDescent="0.25">
      <c r="B31" s="10" t="s">
        <v>403</v>
      </c>
      <c r="C31" s="102">
        <f>'EMFAC Model Results'!AE90</f>
        <v>1090.9193408585058</v>
      </c>
      <c r="D31" s="102">
        <f>'EMFAC Model Results'!AE112</f>
        <v>1092.2895925971386</v>
      </c>
      <c r="E31" s="102">
        <f>'EMFAC Model Results'!AE134</f>
        <v>1094.7282319861117</v>
      </c>
      <c r="F31" s="102">
        <f>'EMFAC Model Results'!AE156</f>
        <v>1095.7591088476033</v>
      </c>
      <c r="G31" s="102">
        <f>'EMFAC Model Results'!AE178</f>
        <v>1096.7079669667794</v>
      </c>
      <c r="H31" s="27">
        <f>'EMFAC Model Results'!AE200</f>
        <v>1097.7411825947797</v>
      </c>
    </row>
    <row r="32" spans="2:8" x14ac:dyDescent="0.25">
      <c r="B32" s="10" t="s">
        <v>404</v>
      </c>
      <c r="C32" s="23">
        <f>'EMFAC Model Results'!AI90</f>
        <v>3.0623339865062737E-4</v>
      </c>
      <c r="D32" s="23">
        <f>'EMFAC Model Results'!AI112</f>
        <v>3.1041775467462586E-4</v>
      </c>
      <c r="E32" s="23">
        <f>'EMFAC Model Results'!AI134</f>
        <v>3.149014965842489E-4</v>
      </c>
      <c r="F32" s="23">
        <f>'EMFAC Model Results'!AI156</f>
        <v>3.1701855839840647E-4</v>
      </c>
      <c r="G32" s="23">
        <f>'EMFAC Model Results'!AI178</f>
        <v>3.1877675307005157E-4</v>
      </c>
      <c r="H32" s="24">
        <f>'EMFAC Model Results'!AI200</f>
        <v>3.1970703735303204E-4</v>
      </c>
    </row>
    <row r="33" spans="2:8" x14ac:dyDescent="0.25">
      <c r="B33" s="103" t="s">
        <v>405</v>
      </c>
      <c r="C33" s="104">
        <f>'EMFAC Model Results'!AM90</f>
        <v>0.17187478641731921</v>
      </c>
      <c r="D33" s="104">
        <f>'EMFAC Model Results'!AM112</f>
        <v>0.17209067013676099</v>
      </c>
      <c r="E33" s="104">
        <f>'EMFAC Model Results'!AM134</f>
        <v>0.1724748787656033</v>
      </c>
      <c r="F33" s="104">
        <f>'EMFAC Model Results'!AM156</f>
        <v>0.17263729383494461</v>
      </c>
      <c r="G33" s="104">
        <f>'EMFAC Model Results'!AM178</f>
        <v>0.17278678681803253</v>
      </c>
      <c r="H33" s="105">
        <f>'EMFAC Model Results'!AM200</f>
        <v>0.17294957036098993</v>
      </c>
    </row>
    <row r="34" spans="2:8" x14ac:dyDescent="0.25">
      <c r="B34" s="10" t="s">
        <v>406</v>
      </c>
      <c r="C34" s="102">
        <f>'EMFAC Model Results'!AF91</f>
        <v>2109.9884257563212</v>
      </c>
      <c r="D34" s="102">
        <f>'EMFAC Model Results'!AF113</f>
        <v>2108.9517064751344</v>
      </c>
      <c r="E34" s="102">
        <f>'EMFAC Model Results'!AF135</f>
        <v>2107.8981449532243</v>
      </c>
      <c r="F34" s="102">
        <f>'EMFAC Model Results'!AF157</f>
        <v>2106.8150234531604</v>
      </c>
      <c r="G34" s="102">
        <f>'EMFAC Model Results'!AF179</f>
        <v>2105.632787446712</v>
      </c>
      <c r="H34" s="27">
        <f>'EMFAC Model Results'!AF201</f>
        <v>2104.3632575548545</v>
      </c>
    </row>
    <row r="35" spans="2:8" x14ac:dyDescent="0.25">
      <c r="B35" s="10" t="s">
        <v>407</v>
      </c>
      <c r="C35" s="23">
        <f>'EMFAC Model Results'!AJ91</f>
        <v>7.7462597008953037E-3</v>
      </c>
      <c r="D35" s="23">
        <f>'EMFAC Model Results'!AJ113</f>
        <v>7.745651973022496E-3</v>
      </c>
      <c r="E35" s="23">
        <f>'EMFAC Model Results'!AJ135</f>
        <v>7.7451617832190811E-3</v>
      </c>
      <c r="F35" s="23">
        <f>'EMFAC Model Results'!AJ157</f>
        <v>7.7444978939956166E-3</v>
      </c>
      <c r="G35" s="23">
        <f>'EMFAC Model Results'!AJ179</f>
        <v>7.7439325087888646E-3</v>
      </c>
      <c r="H35" s="24">
        <f>'EMFAC Model Results'!AJ201</f>
        <v>7.7433258517779803E-3</v>
      </c>
    </row>
    <row r="36" spans="2:8" ht="15.75" thickBot="1" x14ac:dyDescent="0.3">
      <c r="B36" s="12" t="s">
        <v>408</v>
      </c>
      <c r="C36" s="25">
        <f>'EMFAC Model Results'!AN91</f>
        <v>0.33242953574779488</v>
      </c>
      <c r="D36" s="25">
        <f>'EMFAC Model Results'!AN113</f>
        <v>0.3322662002028508</v>
      </c>
      <c r="E36" s="25">
        <f>'EMFAC Model Results'!AN135</f>
        <v>0.33210021115602312</v>
      </c>
      <c r="F36" s="25">
        <f>'EMFAC Model Results'!AN157</f>
        <v>0.3319295649225984</v>
      </c>
      <c r="G36" s="25">
        <f>'EMFAC Model Results'!AN179</f>
        <v>0.33174330315832989</v>
      </c>
      <c r="H36" s="26">
        <f>'EMFAC Model Results'!AN201</f>
        <v>0.33154328820686529</v>
      </c>
    </row>
    <row r="37" spans="2:8" x14ac:dyDescent="0.25">
      <c r="B37" s="16" t="s">
        <v>409</v>
      </c>
    </row>
    <row r="38" spans="2:8" x14ac:dyDescent="0.25">
      <c r="B38" s="16" t="s">
        <v>226</v>
      </c>
    </row>
    <row r="39" spans="2:8" ht="15.75" thickBot="1" x14ac:dyDescent="0.3">
      <c r="B39" s="16"/>
    </row>
    <row r="40" spans="2:8" ht="15.75" thickBot="1" x14ac:dyDescent="0.3">
      <c r="B40" s="15" t="s">
        <v>297</v>
      </c>
      <c r="C40" s="17">
        <v>2025</v>
      </c>
      <c r="D40" s="18">
        <v>2026</v>
      </c>
      <c r="E40" s="18">
        <v>2027</v>
      </c>
      <c r="F40" s="18">
        <v>2028</v>
      </c>
      <c r="G40" s="18">
        <v>2029</v>
      </c>
      <c r="H40" s="31" t="s">
        <v>123</v>
      </c>
    </row>
    <row r="41" spans="2:8" x14ac:dyDescent="0.25">
      <c r="B41" s="7" t="s">
        <v>410</v>
      </c>
      <c r="C41" s="101">
        <f>'EMFAC Model Results'!H103</f>
        <v>9912.610411479196</v>
      </c>
      <c r="D41" s="101">
        <f>'EMFAC Model Results'!H125</f>
        <v>9696.19452900141</v>
      </c>
      <c r="E41" s="101">
        <f>'EMFAC Model Results'!H147</f>
        <v>9506.9215517034281</v>
      </c>
      <c r="F41" s="101">
        <f>'EMFAC Model Results'!H169</f>
        <v>9345.1992072674784</v>
      </c>
      <c r="G41" s="101">
        <f>'EMFAC Model Results'!H191</f>
        <v>9211.7727866937312</v>
      </c>
      <c r="H41" s="149">
        <f>'EMFAC Model Results'!H213</f>
        <v>9106.3830883443898</v>
      </c>
    </row>
    <row r="42" spans="2:8" x14ac:dyDescent="0.25">
      <c r="B42" s="10" t="s">
        <v>401</v>
      </c>
      <c r="C42" s="148">
        <f>'EMFAC Model Results'!BP103</f>
        <v>8.6997703364886743</v>
      </c>
      <c r="D42" s="148">
        <f>'EMFAC Model Results'!BP125</f>
        <v>8.6801646855933097</v>
      </c>
      <c r="E42" s="148">
        <f>'EMFAC Model Results'!BP147</f>
        <v>8.6534654927238979</v>
      </c>
      <c r="F42" s="148">
        <f>'EMFAC Model Results'!BP169</f>
        <v>8.6382349067155335</v>
      </c>
      <c r="G42" s="148">
        <f>'EMFAC Model Results'!BP191</f>
        <v>8.625028528523826</v>
      </c>
      <c r="H42" s="150">
        <f>'EMFAC Model Results'!BP213</f>
        <v>8.6125088452513818</v>
      </c>
    </row>
    <row r="43" spans="2:8" x14ac:dyDescent="0.25">
      <c r="B43" s="10" t="s">
        <v>174</v>
      </c>
      <c r="C43" s="102">
        <f>'EMFAC Model Results'!AE101</f>
        <v>1101.267875026007</v>
      </c>
      <c r="D43" s="102">
        <f>'EMFAC Model Results'!AE123</f>
        <v>1102.4667478267943</v>
      </c>
      <c r="E43" s="102">
        <f>'EMFAC Model Results'!AE145</f>
        <v>1104.7681065788749</v>
      </c>
      <c r="F43" s="102">
        <f>'EMFAC Model Results'!AE167</f>
        <v>1105.6846028450541</v>
      </c>
      <c r="G43" s="102">
        <f>'EMFAC Model Results'!AE189</f>
        <v>1106.5134223773964</v>
      </c>
      <c r="H43" s="27">
        <f>'EMFAC Model Results'!AE211</f>
        <v>1107.4508434643164</v>
      </c>
    </row>
    <row r="44" spans="2:8" x14ac:dyDescent="0.25">
      <c r="B44" s="10" t="s">
        <v>175</v>
      </c>
      <c r="C44" s="23">
        <f>'EMFAC Model Results'!AI101</f>
        <v>3.1585962015648735E-4</v>
      </c>
      <c r="D44" s="23">
        <f>'EMFAC Model Results'!AI123</f>
        <v>3.1966616645259398E-4</v>
      </c>
      <c r="E44" s="23">
        <f>'EMFAC Model Results'!AI145</f>
        <v>3.2406554778958031E-4</v>
      </c>
      <c r="F44" s="23">
        <f>'EMFAC Model Results'!AI167</f>
        <v>3.2584717290653922E-4</v>
      </c>
      <c r="G44" s="23">
        <f>'EMFAC Model Results'!AI189</f>
        <v>3.2735046702611631E-4</v>
      </c>
      <c r="H44" s="24">
        <f>'EMFAC Model Results'!AI211</f>
        <v>3.2785391709929697E-4</v>
      </c>
    </row>
    <row r="45" spans="2:8" x14ac:dyDescent="0.25">
      <c r="B45" s="103" t="s">
        <v>176</v>
      </c>
      <c r="C45" s="104">
        <f>'EMFAC Model Results'!AM101</f>
        <v>0.17350520218973717</v>
      </c>
      <c r="D45" s="104">
        <f>'EMFAC Model Results'!AM123</f>
        <v>0.17369408508772996</v>
      </c>
      <c r="E45" s="104">
        <f>'EMFAC Model Results'!AM145</f>
        <v>0.17405666509632303</v>
      </c>
      <c r="F45" s="104">
        <f>'EMFAC Model Results'!AM167</f>
        <v>0.17420105945629236</v>
      </c>
      <c r="G45" s="104">
        <f>'EMFAC Model Results'!AM189</f>
        <v>0.17433164031114073</v>
      </c>
      <c r="H45" s="105">
        <f>'EMFAC Model Results'!AM211</f>
        <v>0.17447933138513974</v>
      </c>
    </row>
    <row r="46" spans="2:8" x14ac:dyDescent="0.25">
      <c r="B46" s="10" t="s">
        <v>177</v>
      </c>
      <c r="C46" s="102">
        <f>'EMFAC Model Results'!AF102</f>
        <v>2099.4014877500895</v>
      </c>
      <c r="D46" s="102">
        <f>'EMFAC Model Results'!AF124</f>
        <v>2098.2492683985151</v>
      </c>
      <c r="E46" s="102">
        <f>'EMFAC Model Results'!AF146</f>
        <v>2097.1612863728355</v>
      </c>
      <c r="F46" s="102">
        <f>'EMFAC Model Results'!AF168</f>
        <v>2096.0138390943794</v>
      </c>
      <c r="G46" s="102">
        <f>'EMFAC Model Results'!AF190</f>
        <v>2094.7660201834829</v>
      </c>
      <c r="H46" s="27">
        <f>'EMFAC Model Results'!AF212</f>
        <v>2093.3973330726826</v>
      </c>
    </row>
    <row r="47" spans="2:8" x14ac:dyDescent="0.25">
      <c r="B47" s="10" t="s">
        <v>178</v>
      </c>
      <c r="C47" s="23">
        <f>'EMFAC Model Results'!AJ102</f>
        <v>7.7547436810793098E-3</v>
      </c>
      <c r="D47" s="23">
        <f>'EMFAC Model Results'!AJ124</f>
        <v>7.7537723743206005E-3</v>
      </c>
      <c r="E47" s="23">
        <f>'EMFAC Model Results'!AJ146</f>
        <v>7.7529886258152709E-3</v>
      </c>
      <c r="F47" s="23">
        <f>'EMFAC Model Results'!AJ168</f>
        <v>7.7519583190780736E-3</v>
      </c>
      <c r="G47" s="23">
        <f>'EMFAC Model Results'!AJ190</f>
        <v>7.7510539730874873E-3</v>
      </c>
      <c r="H47" s="24">
        <f>'EMFAC Model Results'!AJ212</f>
        <v>7.750089119397092E-3</v>
      </c>
    </row>
    <row r="48" spans="2:8" ht="15.75" thickBot="1" x14ac:dyDescent="0.3">
      <c r="B48" s="12" t="s">
        <v>179</v>
      </c>
      <c r="C48" s="25">
        <f>'EMFAC Model Results'!AN102</f>
        <v>0.33076155935349721</v>
      </c>
      <c r="D48" s="25">
        <f>'EMFAC Model Results'!AN124</f>
        <v>0.33058002672542808</v>
      </c>
      <c r="E48" s="25">
        <f>'EMFAC Model Results'!AN146</f>
        <v>0.33040861471421384</v>
      </c>
      <c r="F48" s="25">
        <f>'EMFAC Model Results'!AN168</f>
        <v>0.33022783392820737</v>
      </c>
      <c r="G48" s="25">
        <f>'EMFAC Model Results'!AN190</f>
        <v>0.33003123955063501</v>
      </c>
      <c r="H48" s="26">
        <f>'EMFAC Model Results'!AN212</f>
        <v>0.32981560233894563</v>
      </c>
    </row>
    <row r="49" spans="2:4" x14ac:dyDescent="0.25">
      <c r="B49" s="16" t="s">
        <v>321</v>
      </c>
    </row>
    <row r="50" spans="2:4" x14ac:dyDescent="0.25">
      <c r="B50" s="16" t="s">
        <v>226</v>
      </c>
    </row>
    <row r="51" spans="2:4" x14ac:dyDescent="0.25">
      <c r="B51" s="16"/>
    </row>
    <row r="52" spans="2:4" x14ac:dyDescent="0.25">
      <c r="B52" s="16"/>
      <c r="C52" s="4" t="s">
        <v>323</v>
      </c>
      <c r="D52" s="4" t="s">
        <v>324</v>
      </c>
    </row>
    <row r="53" spans="2:4" x14ac:dyDescent="0.25">
      <c r="B53" s="136" t="s">
        <v>183</v>
      </c>
      <c r="C53" s="1">
        <v>2</v>
      </c>
      <c r="D53" s="1">
        <v>0.7</v>
      </c>
    </row>
    <row r="54" spans="2:4" x14ac:dyDescent="0.25">
      <c r="B54" s="136" t="s">
        <v>99</v>
      </c>
      <c r="C54" s="1"/>
      <c r="D54" s="1"/>
    </row>
    <row r="55" spans="2:4" x14ac:dyDescent="0.25">
      <c r="B55" t="s">
        <v>225</v>
      </c>
    </row>
    <row r="56" spans="2:4" x14ac:dyDescent="0.25">
      <c r="B56" s="81" t="s">
        <v>325</v>
      </c>
    </row>
    <row r="57" spans="2:4" ht="15.75" thickBot="1" x14ac:dyDescent="0.3"/>
    <row r="58" spans="2:4" ht="15.75" thickBot="1" x14ac:dyDescent="0.3">
      <c r="B58" s="17" t="s">
        <v>184</v>
      </c>
      <c r="C58" s="52">
        <v>0.85</v>
      </c>
    </row>
    <row r="59" spans="2:4" ht="15.75" thickBot="1" x14ac:dyDescent="0.3">
      <c r="B59" s="46" t="s">
        <v>158</v>
      </c>
      <c r="C59" s="69">
        <v>5.0999999999999997E-2</v>
      </c>
    </row>
    <row r="60" spans="2:4" x14ac:dyDescent="0.25">
      <c r="B60" s="16" t="s">
        <v>185</v>
      </c>
      <c r="C60" s="53"/>
    </row>
    <row r="61" spans="2:4" x14ac:dyDescent="0.25">
      <c r="B61" t="s">
        <v>147</v>
      </c>
      <c r="C61" s="53"/>
    </row>
    <row r="62" spans="2:4" x14ac:dyDescent="0.25">
      <c r="B62" s="81" t="s">
        <v>181</v>
      </c>
      <c r="C62" s="53"/>
    </row>
    <row r="63" spans="2:4" x14ac:dyDescent="0.25">
      <c r="B63" s="16" t="s">
        <v>186</v>
      </c>
      <c r="C63" s="53"/>
    </row>
    <row r="64" spans="2:4" x14ac:dyDescent="0.25">
      <c r="B64" s="81" t="s">
        <v>180</v>
      </c>
      <c r="C64" s="53"/>
    </row>
    <row r="65" spans="2:5" x14ac:dyDescent="0.25">
      <c r="B65" s="81"/>
      <c r="C65" s="53"/>
    </row>
    <row r="66" spans="2:5" ht="15.75" thickBot="1" x14ac:dyDescent="0.3">
      <c r="B66" t="s">
        <v>213</v>
      </c>
    </row>
    <row r="67" spans="2:5" x14ac:dyDescent="0.25">
      <c r="B67" s="7" t="s">
        <v>216</v>
      </c>
      <c r="C67" s="32" t="s">
        <v>0</v>
      </c>
      <c r="D67" s="32" t="s">
        <v>2</v>
      </c>
      <c r="E67" s="33" t="s">
        <v>1</v>
      </c>
    </row>
    <row r="68" spans="2:5" x14ac:dyDescent="0.25">
      <c r="B68" s="10" t="s">
        <v>212</v>
      </c>
      <c r="C68" s="1">
        <v>497.4</v>
      </c>
      <c r="D68" s="1">
        <v>0.03</v>
      </c>
      <c r="E68" s="11">
        <v>4.0000000000000001E-3</v>
      </c>
    </row>
    <row r="69" spans="2:5" x14ac:dyDescent="0.25">
      <c r="B69" s="10" t="s">
        <v>215</v>
      </c>
      <c r="C69" s="22">
        <f>(332.7+342.6)/2</f>
        <v>337.65</v>
      </c>
      <c r="D69" s="1">
        <v>0.03</v>
      </c>
      <c r="E69" s="11">
        <v>4.0000000000000001E-3</v>
      </c>
    </row>
    <row r="70" spans="2:5" ht="15.75" thickBot="1" x14ac:dyDescent="0.3">
      <c r="B70" s="12" t="s">
        <v>214</v>
      </c>
      <c r="C70" s="13">
        <v>0</v>
      </c>
      <c r="D70" s="13">
        <v>0</v>
      </c>
      <c r="E70" s="14">
        <v>0</v>
      </c>
    </row>
    <row r="71" spans="2:5" x14ac:dyDescent="0.25">
      <c r="B71" t="s">
        <v>205</v>
      </c>
    </row>
    <row r="72" spans="2:5" x14ac:dyDescent="0.25">
      <c r="B72" t="s">
        <v>206</v>
      </c>
    </row>
    <row r="73" spans="2:5" x14ac:dyDescent="0.25">
      <c r="B73" s="81" t="s">
        <v>182</v>
      </c>
    </row>
    <row r="74" spans="2:5" x14ac:dyDescent="0.25">
      <c r="B74" s="16" t="s">
        <v>223</v>
      </c>
    </row>
    <row r="75" spans="2:5" x14ac:dyDescent="0.25">
      <c r="B75" s="16" t="s">
        <v>253</v>
      </c>
    </row>
    <row r="76" spans="2:5" ht="15.75" thickBot="1" x14ac:dyDescent="0.3">
      <c r="B76" s="16"/>
    </row>
    <row r="77" spans="2:5" x14ac:dyDescent="0.25">
      <c r="B77" s="83" t="s">
        <v>217</v>
      </c>
      <c r="C77" s="32" t="s">
        <v>0</v>
      </c>
      <c r="D77" s="32" t="s">
        <v>2</v>
      </c>
      <c r="E77" s="33" t="s">
        <v>1</v>
      </c>
    </row>
    <row r="78" spans="2:5" ht="15.75" thickBot="1" x14ac:dyDescent="0.3">
      <c r="B78" s="12" t="s">
        <v>218</v>
      </c>
      <c r="C78" s="13">
        <v>1</v>
      </c>
      <c r="D78" s="13">
        <v>28</v>
      </c>
      <c r="E78" s="14">
        <v>265</v>
      </c>
    </row>
    <row r="79" spans="2:5" x14ac:dyDescent="0.25">
      <c r="B79" s="16" t="s">
        <v>254</v>
      </c>
    </row>
    <row r="80" spans="2:5" x14ac:dyDescent="0.25">
      <c r="B80" s="16" t="s">
        <v>219</v>
      </c>
    </row>
    <row r="81" spans="2:5" x14ac:dyDescent="0.25">
      <c r="B81" s="16"/>
    </row>
    <row r="82" spans="2:5" x14ac:dyDescent="0.25">
      <c r="B82" s="16"/>
    </row>
    <row r="83" spans="2:5" x14ac:dyDescent="0.25">
      <c r="B83" s="190" t="s">
        <v>255</v>
      </c>
      <c r="C83" s="189">
        <v>2030</v>
      </c>
      <c r="D83" s="189"/>
      <c r="E83" s="189"/>
    </row>
    <row r="84" spans="2:5" x14ac:dyDescent="0.25">
      <c r="B84" s="190"/>
      <c r="C84" s="4" t="s">
        <v>102</v>
      </c>
      <c r="D84" s="4" t="s">
        <v>103</v>
      </c>
      <c r="E84" s="4" t="s">
        <v>104</v>
      </c>
    </row>
    <row r="85" spans="2:5" x14ac:dyDescent="0.25">
      <c r="B85" s="1" t="s">
        <v>220</v>
      </c>
      <c r="C85" s="39">
        <f>'EMFAC Model Results'!M78</f>
        <v>2.0162788296852501</v>
      </c>
      <c r="D85" s="43">
        <f>'EMFAC Model Results'!Q78</f>
        <v>3.0988044221130041E-2</v>
      </c>
      <c r="E85" s="43">
        <f>'EMFAC Model Results'!X78</f>
        <v>3.2389186073399835E-2</v>
      </c>
    </row>
    <row r="86" spans="2:5" x14ac:dyDescent="0.25">
      <c r="B86" s="1" t="s">
        <v>221</v>
      </c>
      <c r="C86" s="39">
        <f>'EMFAC Model Results'!N79</f>
        <v>41.209401344071779</v>
      </c>
      <c r="D86" s="43">
        <f>'EMFAC Model Results'!R79</f>
        <v>1.4073489115466882E-2</v>
      </c>
      <c r="E86" s="43">
        <f>'EMFAC Model Results'!Y79</f>
        <v>1.4709829843085255E-2</v>
      </c>
    </row>
    <row r="87" spans="2:5" x14ac:dyDescent="0.25">
      <c r="B87" s="1" t="s">
        <v>274</v>
      </c>
      <c r="C87" s="39">
        <f>'EMFAC Model Results'!M200</f>
        <v>0.66631502735196446</v>
      </c>
      <c r="D87" s="43">
        <f>'EMFAC Model Results'!Q200</f>
        <v>5.3015144166000281E-3</v>
      </c>
      <c r="E87" s="43">
        <f>'EMFAC Model Results'!X200</f>
        <v>5.541225373396878E-3</v>
      </c>
    </row>
    <row r="88" spans="2:5" x14ac:dyDescent="0.25">
      <c r="B88" s="1" t="s">
        <v>261</v>
      </c>
      <c r="C88" s="39">
        <f>'EMFAC Model Results'!N201</f>
        <v>9.6651555026447067</v>
      </c>
      <c r="D88" s="43">
        <f>'EMFAC Model Results'!R201</f>
        <v>2.3002068220415476E-3</v>
      </c>
      <c r="E88" s="43">
        <f>'EMFAC Model Results'!Y201</f>
        <v>2.4042119675176657E-3</v>
      </c>
    </row>
    <row r="89" spans="2:5" x14ac:dyDescent="0.25">
      <c r="B89" s="1" t="s">
        <v>275</v>
      </c>
      <c r="C89" s="39">
        <f>'EMFAC Model Results'!M211</f>
        <v>0.60061728799350766</v>
      </c>
      <c r="D89" s="43">
        <f>'EMFAC Model Results'!Q211</f>
        <v>5.1223348632782918E-3</v>
      </c>
      <c r="E89" s="43">
        <f>'EMFAC Model Results'!X211</f>
        <v>5.3539441157714196E-3</v>
      </c>
    </row>
    <row r="90" spans="2:5" x14ac:dyDescent="0.25">
      <c r="B90" s="1" t="s">
        <v>276</v>
      </c>
      <c r="C90" s="39">
        <f>'EMFAC Model Results'!N212</f>
        <v>9.6808240290963194</v>
      </c>
      <c r="D90" s="43">
        <f>'EMFAC Model Results'!R212</f>
        <v>2.3002068220416231E-3</v>
      </c>
      <c r="E90" s="43">
        <f>'EMFAC Model Results'!Y212</f>
        <v>2.4042119675177446E-3</v>
      </c>
    </row>
    <row r="91" spans="2:5" x14ac:dyDescent="0.25">
      <c r="B91" s="16" t="s">
        <v>222</v>
      </c>
    </row>
    <row r="92" spans="2:5" x14ac:dyDescent="0.25">
      <c r="B92" s="16" t="s">
        <v>277</v>
      </c>
    </row>
    <row r="93" spans="2:5" x14ac:dyDescent="0.25">
      <c r="B93" s="16" t="s">
        <v>284</v>
      </c>
    </row>
    <row r="94" spans="2:5" x14ac:dyDescent="0.25">
      <c r="B94" s="16" t="s">
        <v>226</v>
      </c>
    </row>
    <row r="95" spans="2:5" ht="15.75" thickBot="1" x14ac:dyDescent="0.3">
      <c r="B95" s="16"/>
    </row>
    <row r="96" spans="2:5" x14ac:dyDescent="0.25">
      <c r="B96" s="83" t="s">
        <v>395</v>
      </c>
      <c r="C96" s="9">
        <v>18</v>
      </c>
    </row>
    <row r="97" spans="2:28" ht="15.75" thickBot="1" x14ac:dyDescent="0.3">
      <c r="B97" s="145" t="s">
        <v>394</v>
      </c>
      <c r="C97" s="14"/>
    </row>
    <row r="98" spans="2:28" x14ac:dyDescent="0.25">
      <c r="B98" s="16" t="s">
        <v>396</v>
      </c>
    </row>
    <row r="99" spans="2:28" x14ac:dyDescent="0.25">
      <c r="B99" s="81" t="s">
        <v>397</v>
      </c>
    </row>
    <row r="100" spans="2:28" ht="15.75" thickBot="1" x14ac:dyDescent="0.3">
      <c r="B100" s="81"/>
    </row>
    <row r="101" spans="2:28" ht="15.75" thickBot="1" x14ac:dyDescent="0.3">
      <c r="B101" s="17" t="s">
        <v>411</v>
      </c>
      <c r="C101" s="151">
        <v>129488</v>
      </c>
    </row>
    <row r="102" spans="2:28" x14ac:dyDescent="0.25">
      <c r="B102" s="16" t="s">
        <v>412</v>
      </c>
      <c r="C102" s="2"/>
    </row>
    <row r="103" spans="2:28" x14ac:dyDescent="0.25">
      <c r="B103" s="16"/>
    </row>
    <row r="104" spans="2:28" ht="15.75" thickBot="1" x14ac:dyDescent="0.3">
      <c r="B104" s="16"/>
    </row>
    <row r="105" spans="2:28" ht="15.75" thickBot="1" x14ac:dyDescent="0.3">
      <c r="B105" s="49" t="s">
        <v>414</v>
      </c>
      <c r="C105" s="50">
        <v>10</v>
      </c>
    </row>
    <row r="106" spans="2:28" x14ac:dyDescent="0.25">
      <c r="B106" s="16" t="s">
        <v>413</v>
      </c>
    </row>
    <row r="107" spans="2:28" x14ac:dyDescent="0.25">
      <c r="B107" s="16"/>
    </row>
    <row r="108" spans="2:28" x14ac:dyDescent="0.25">
      <c r="B108" s="16"/>
    </row>
    <row r="109" spans="2:28" x14ac:dyDescent="0.25">
      <c r="B109" s="81"/>
    </row>
    <row r="110" spans="2:28" x14ac:dyDescent="0.25">
      <c r="B110" s="16"/>
    </row>
    <row r="111" spans="2:28" ht="16.5" thickBot="1" x14ac:dyDescent="0.3">
      <c r="B111" s="48" t="s">
        <v>262</v>
      </c>
    </row>
    <row r="112" spans="2:28" x14ac:dyDescent="0.25">
      <c r="B112" s="7"/>
      <c r="C112" s="8">
        <v>2025</v>
      </c>
      <c r="D112" s="8">
        <v>2026</v>
      </c>
      <c r="E112" s="8">
        <v>2027</v>
      </c>
      <c r="F112" s="8">
        <v>2028</v>
      </c>
      <c r="G112" s="8">
        <v>2029</v>
      </c>
      <c r="H112" s="8">
        <v>2030</v>
      </c>
      <c r="I112" s="8">
        <v>2031</v>
      </c>
      <c r="J112" s="8">
        <v>2032</v>
      </c>
      <c r="K112" s="8">
        <v>2033</v>
      </c>
      <c r="L112" s="8">
        <v>2034</v>
      </c>
      <c r="M112" s="8">
        <v>2035</v>
      </c>
      <c r="N112" s="8">
        <v>2036</v>
      </c>
      <c r="O112" s="8">
        <v>2037</v>
      </c>
      <c r="P112" s="8">
        <v>2038</v>
      </c>
      <c r="Q112" s="8">
        <v>2039</v>
      </c>
      <c r="R112" s="8">
        <v>2040</v>
      </c>
      <c r="S112" s="8">
        <v>2041</v>
      </c>
      <c r="T112" s="8">
        <v>2042</v>
      </c>
      <c r="U112" s="8">
        <v>2043</v>
      </c>
      <c r="V112" s="8">
        <v>2044</v>
      </c>
      <c r="W112" s="8">
        <v>2045</v>
      </c>
      <c r="X112" s="8">
        <v>2046</v>
      </c>
      <c r="Y112" s="8">
        <v>2047</v>
      </c>
      <c r="Z112" s="8">
        <v>2048</v>
      </c>
      <c r="AA112" s="8">
        <v>2049</v>
      </c>
      <c r="AB112" s="9">
        <v>2050</v>
      </c>
    </row>
    <row r="113" spans="2:28" x14ac:dyDescent="0.25">
      <c r="B113" s="10" t="s">
        <v>3</v>
      </c>
      <c r="C113" s="3">
        <f>(C7*C16*C18+C7*C21*312+C9*C29*C31+C9*C34*312+C11*C41*C43+C11*C46*312)/1000000</f>
        <v>0</v>
      </c>
      <c r="D113" s="3">
        <f>(D7*D16*D18+D7*D21*312+D9*D29*D31+D9*D34*312+D11*D41*D43+D11*D46*312)/1000000</f>
        <v>6705.9153290813083</v>
      </c>
      <c r="E113" s="3">
        <f>(E7*E16*E18+E7*E21*312+E9*E29*E31+E9*E34*312+E11*E41*E43+E11*E46*312)/1000000</f>
        <v>14510.436346379431</v>
      </c>
      <c r="F113" s="3">
        <f>(F7*F16*F18+F7*F21*312+F9*F29*F31+F9*F34*312+F11*F41*F43+F11*F46*312)/1000000</f>
        <v>14391.515463364831</v>
      </c>
      <c r="G113" s="3">
        <f>(G7*G16*G18+G7*G21*312+G9*G29*G31+G9*G34*312+G11*G41*G43+G11*G46*312)/1000000</f>
        <v>14296.778697367112</v>
      </c>
      <c r="H113" s="3">
        <f t="shared" ref="H113:AB113" si="20">(H7*$H$16*$H$18+H7*$H$21*312+H9*$H$29*$H$31+H9*$H$34*312+H11*$H$41*$H$43+H11*$H$46*312)/1000000</f>
        <v>14225.37573879714</v>
      </c>
      <c r="I113" s="3">
        <f t="shared" si="20"/>
        <v>14225.37573879714</v>
      </c>
      <c r="J113" s="3">
        <f t="shared" si="20"/>
        <v>14225.37573879714</v>
      </c>
      <c r="K113" s="3">
        <f t="shared" si="20"/>
        <v>14225.37573879714</v>
      </c>
      <c r="L113" s="3">
        <f t="shared" si="20"/>
        <v>14225.37573879714</v>
      </c>
      <c r="M113" s="3">
        <f t="shared" si="20"/>
        <v>14225.37573879714</v>
      </c>
      <c r="N113" s="3">
        <f t="shared" si="20"/>
        <v>14225.37573879714</v>
      </c>
      <c r="O113" s="3">
        <f t="shared" si="20"/>
        <v>14225.37573879714</v>
      </c>
      <c r="P113" s="3">
        <f t="shared" si="20"/>
        <v>14225.37573879714</v>
      </c>
      <c r="Q113" s="3">
        <f t="shared" si="20"/>
        <v>14225.37573879714</v>
      </c>
      <c r="R113" s="3">
        <f t="shared" si="20"/>
        <v>14225.37573879714</v>
      </c>
      <c r="S113" s="3">
        <f t="shared" si="20"/>
        <v>14225.37573879714</v>
      </c>
      <c r="T113" s="3">
        <f t="shared" si="20"/>
        <v>14225.37573879714</v>
      </c>
      <c r="U113" s="3">
        <f t="shared" si="20"/>
        <v>14225.37573879714</v>
      </c>
      <c r="V113" s="3">
        <f t="shared" si="20"/>
        <v>14225.37573879714</v>
      </c>
      <c r="W113" s="3">
        <f t="shared" si="20"/>
        <v>14225.37573879714</v>
      </c>
      <c r="X113" s="3">
        <f t="shared" si="20"/>
        <v>14225.37573879714</v>
      </c>
      <c r="Y113" s="3">
        <f t="shared" si="20"/>
        <v>14225.37573879714</v>
      </c>
      <c r="Z113" s="3">
        <f t="shared" si="20"/>
        <v>14225.37573879714</v>
      </c>
      <c r="AA113" s="3">
        <f t="shared" si="20"/>
        <v>14225.37573879714</v>
      </c>
      <c r="AB113" s="3">
        <f t="shared" si="20"/>
        <v>14225.37573879714</v>
      </c>
    </row>
    <row r="114" spans="2:28" x14ac:dyDescent="0.25">
      <c r="B114" s="10" t="s">
        <v>5</v>
      </c>
      <c r="C114" s="3">
        <f>(C7*C16*C19+C7*C22*312+C9*C29*C32+C9*C35*312+C11*C41*C44+C11*C47*312)/1000000</f>
        <v>0</v>
      </c>
      <c r="D114" s="93">
        <f>(D7*D16*D19+D7*D22*312+D9*D29*D32+D9*D35*312+D11*D41*D44+D11*D47*312)/1000000</f>
        <v>4.913880097522705E-3</v>
      </c>
      <c r="E114" s="93">
        <f>(E7*E16*E19+E7*E22*312+E9*E29*E32+E9*E35*312+E11*E41*E44+E11*E47*312)/1000000</f>
        <v>1.092634992300153E-2</v>
      </c>
      <c r="F114" s="93">
        <f>(F7*F16*F19+F7*F22*312+F9*F29*F32+F9*F35*312+F11*F41*F44+F11*F47*312)/1000000</f>
        <v>1.0847376706073107E-2</v>
      </c>
      <c r="G114" s="93">
        <f>(G7*G16*G19+G7*G22*312+G9*G29*G32+G9*G35*312+G11*G41*G44+G11*G47*312)/1000000</f>
        <v>1.0787684344785642E-2</v>
      </c>
      <c r="H114" s="93">
        <f t="shared" ref="H114:AB114" si="21">(H7*$H$16*$H$19+H7*$H$22*312+H9*$H$29*$H$32+H9*$H$35*312+H11*$H$41*$H$44+H11*$H$47*312)/1000000</f>
        <v>1.0758441223558887E-2</v>
      </c>
      <c r="I114" s="93">
        <f t="shared" si="21"/>
        <v>1.0758441223558887E-2</v>
      </c>
      <c r="J114" s="93">
        <f t="shared" si="21"/>
        <v>1.0758441223558887E-2</v>
      </c>
      <c r="K114" s="93">
        <f t="shared" si="21"/>
        <v>1.0758441223558887E-2</v>
      </c>
      <c r="L114" s="93">
        <f t="shared" si="21"/>
        <v>1.0758441223558887E-2</v>
      </c>
      <c r="M114" s="93">
        <f t="shared" si="21"/>
        <v>1.0758441223558887E-2</v>
      </c>
      <c r="N114" s="93">
        <f t="shared" si="21"/>
        <v>1.0758441223558887E-2</v>
      </c>
      <c r="O114" s="93">
        <f t="shared" si="21"/>
        <v>1.0758441223558887E-2</v>
      </c>
      <c r="P114" s="93">
        <f t="shared" si="21"/>
        <v>1.0758441223558887E-2</v>
      </c>
      <c r="Q114" s="93">
        <f t="shared" si="21"/>
        <v>1.0758441223558887E-2</v>
      </c>
      <c r="R114" s="93">
        <f t="shared" si="21"/>
        <v>1.0758441223558887E-2</v>
      </c>
      <c r="S114" s="93">
        <f t="shared" si="21"/>
        <v>1.0758441223558887E-2</v>
      </c>
      <c r="T114" s="93">
        <f t="shared" si="21"/>
        <v>1.0758441223558887E-2</v>
      </c>
      <c r="U114" s="93">
        <f t="shared" si="21"/>
        <v>1.0758441223558887E-2</v>
      </c>
      <c r="V114" s="93">
        <f t="shared" si="21"/>
        <v>1.0758441223558887E-2</v>
      </c>
      <c r="W114" s="93">
        <f t="shared" si="21"/>
        <v>1.0758441223558887E-2</v>
      </c>
      <c r="X114" s="93">
        <f t="shared" si="21"/>
        <v>1.0758441223558887E-2</v>
      </c>
      <c r="Y114" s="93">
        <f t="shared" si="21"/>
        <v>1.0758441223558887E-2</v>
      </c>
      <c r="Z114" s="93">
        <f t="shared" si="21"/>
        <v>1.0758441223558887E-2</v>
      </c>
      <c r="AA114" s="93">
        <f t="shared" si="21"/>
        <v>1.0758441223558887E-2</v>
      </c>
      <c r="AB114" s="93">
        <f t="shared" si="21"/>
        <v>1.0758441223558887E-2</v>
      </c>
    </row>
    <row r="115" spans="2:28" x14ac:dyDescent="0.25">
      <c r="B115" s="10" t="s">
        <v>4</v>
      </c>
      <c r="C115" s="3">
        <f>(C7*C16*C20+C7*C23*312+C9*C29*C33+C9*C36*312+C11*C41*C45+C11*C48*312)/1000000</f>
        <v>0</v>
      </c>
      <c r="D115" s="20">
        <f>(D7*D16*D20+D7*D23*312+D9*D29*D33+D9*D36*312+D11*D41*D45+D11*D48*312)/1000000</f>
        <v>1.0565196910079984</v>
      </c>
      <c r="E115" s="20">
        <f>(E7*E16*E20+E7*E23*312+E9*E29*E33+E9*E36*312+E11*E41*E45+E11*E48*312)/1000000</f>
        <v>2.286125155589799</v>
      </c>
      <c r="F115" s="20">
        <f>(F7*F16*F20+F7*F23*312+F9*F29*F33+F9*F36*312+F11*F41*F45+F11*F48*312)/1000000</f>
        <v>2.267389122041608</v>
      </c>
      <c r="G115" s="20">
        <f>(G7*G16*G20+G7*G23*312+G9*G29*G33+G9*G36*312+G11*G41*G45+G11*G48*312)/1000000</f>
        <v>2.2524633059781474</v>
      </c>
      <c r="H115" s="20">
        <f t="shared" ref="H115:AB115" si="22">(H7*$H$16*$H$20+H7*$H$23*312+H9*$H$29*$H$33+H9*$H$36*312+H11*$H$41*$H$45+H11*$H$48*312)/1000000</f>
        <v>2.2412137407773702</v>
      </c>
      <c r="I115" s="20">
        <f t="shared" si="22"/>
        <v>2.2412137407773702</v>
      </c>
      <c r="J115" s="20">
        <f t="shared" si="22"/>
        <v>2.2412137407773702</v>
      </c>
      <c r="K115" s="20">
        <f t="shared" si="22"/>
        <v>2.2412137407773702</v>
      </c>
      <c r="L115" s="20">
        <f t="shared" si="22"/>
        <v>2.2412137407773702</v>
      </c>
      <c r="M115" s="20">
        <f t="shared" si="22"/>
        <v>2.2412137407773702</v>
      </c>
      <c r="N115" s="20">
        <f t="shared" si="22"/>
        <v>2.2412137407773702</v>
      </c>
      <c r="O115" s="20">
        <f t="shared" si="22"/>
        <v>2.2412137407773702</v>
      </c>
      <c r="P115" s="20">
        <f t="shared" si="22"/>
        <v>2.2412137407773702</v>
      </c>
      <c r="Q115" s="20">
        <f t="shared" si="22"/>
        <v>2.2412137407773702</v>
      </c>
      <c r="R115" s="20">
        <f t="shared" si="22"/>
        <v>2.2412137407773702</v>
      </c>
      <c r="S115" s="20">
        <f t="shared" si="22"/>
        <v>2.2412137407773702</v>
      </c>
      <c r="T115" s="20">
        <f t="shared" si="22"/>
        <v>2.2412137407773702</v>
      </c>
      <c r="U115" s="20">
        <f t="shared" si="22"/>
        <v>2.2412137407773702</v>
      </c>
      <c r="V115" s="20">
        <f t="shared" si="22"/>
        <v>2.2412137407773702</v>
      </c>
      <c r="W115" s="20">
        <f t="shared" si="22"/>
        <v>2.2412137407773702</v>
      </c>
      <c r="X115" s="20">
        <f t="shared" si="22"/>
        <v>2.2412137407773702</v>
      </c>
      <c r="Y115" s="20">
        <f t="shared" si="22"/>
        <v>2.2412137407773702</v>
      </c>
      <c r="Z115" s="20">
        <f t="shared" si="22"/>
        <v>2.2412137407773702</v>
      </c>
      <c r="AA115" s="20">
        <f t="shared" si="22"/>
        <v>2.2412137407773702</v>
      </c>
      <c r="AB115" s="20">
        <f t="shared" si="22"/>
        <v>2.2412137407773702</v>
      </c>
    </row>
    <row r="116" spans="2:28" x14ac:dyDescent="0.25">
      <c r="B116" s="10" t="s">
        <v>6</v>
      </c>
      <c r="C116" s="3">
        <f>C113+C114*$D$78+C115*$E$78</f>
        <v>0</v>
      </c>
      <c r="D116" s="3">
        <f t="shared" ref="D116:H116" si="23">D113+D114*$D$78+D115*$E$78</f>
        <v>6986.0306358411581</v>
      </c>
      <c r="E116" s="3">
        <f t="shared" si="23"/>
        <v>15116.565450408572</v>
      </c>
      <c r="F116" s="3">
        <f t="shared" si="23"/>
        <v>14992.677307253627</v>
      </c>
      <c r="G116" s="3">
        <f t="shared" si="23"/>
        <v>14893.983528612975</v>
      </c>
      <c r="H116" s="3">
        <f t="shared" si="23"/>
        <v>14819.598616457404</v>
      </c>
      <c r="I116" s="3">
        <f t="shared" ref="I116" si="24">I113+I114*$D$78+I115*$E$78</f>
        <v>14819.598616457404</v>
      </c>
      <c r="J116" s="3">
        <f t="shared" ref="J116" si="25">J113+J114*$D$78+J115*$E$78</f>
        <v>14819.598616457404</v>
      </c>
      <c r="K116" s="3">
        <f t="shared" ref="K116" si="26">K113+K114*$D$78+K115*$E$78</f>
        <v>14819.598616457404</v>
      </c>
      <c r="L116" s="3">
        <f t="shared" ref="L116" si="27">L113+L114*$D$78+L115*$E$78</f>
        <v>14819.598616457404</v>
      </c>
      <c r="M116" s="3">
        <f t="shared" ref="M116" si="28">M113+M114*$D$78+M115*$E$78</f>
        <v>14819.598616457404</v>
      </c>
      <c r="N116" s="3">
        <f t="shared" ref="N116" si="29">N113+N114*$D$78+N115*$E$78</f>
        <v>14819.598616457404</v>
      </c>
      <c r="O116" s="3">
        <f t="shared" ref="O116" si="30">O113+O114*$D$78+O115*$E$78</f>
        <v>14819.598616457404</v>
      </c>
      <c r="P116" s="3">
        <f t="shared" ref="P116" si="31">P113+P114*$D$78+P115*$E$78</f>
        <v>14819.598616457404</v>
      </c>
      <c r="Q116" s="3">
        <f t="shared" ref="Q116" si="32">Q113+Q114*$D$78+Q115*$E$78</f>
        <v>14819.598616457404</v>
      </c>
      <c r="R116" s="3">
        <f t="shared" ref="R116" si="33">R113+R114*$D$78+R115*$E$78</f>
        <v>14819.598616457404</v>
      </c>
      <c r="S116" s="3">
        <f t="shared" ref="S116" si="34">S113+S114*$D$78+S115*$E$78</f>
        <v>14819.598616457404</v>
      </c>
      <c r="T116" s="3">
        <f t="shared" ref="T116" si="35">T113+T114*$D$78+T115*$E$78</f>
        <v>14819.598616457404</v>
      </c>
      <c r="U116" s="3">
        <f t="shared" ref="U116" si="36">U113+U114*$D$78+U115*$E$78</f>
        <v>14819.598616457404</v>
      </c>
      <c r="V116" s="3">
        <f t="shared" ref="V116" si="37">V113+V114*$D$78+V115*$E$78</f>
        <v>14819.598616457404</v>
      </c>
      <c r="W116" s="3">
        <f t="shared" ref="W116" si="38">W113+W114*$D$78+W115*$E$78</f>
        <v>14819.598616457404</v>
      </c>
      <c r="X116" s="3">
        <f t="shared" ref="X116" si="39">X113+X114*$D$78+X115*$E$78</f>
        <v>14819.598616457404</v>
      </c>
      <c r="Y116" s="3">
        <f t="shared" ref="Y116" si="40">Y113+Y114*$D$78+Y115*$E$78</f>
        <v>14819.598616457404</v>
      </c>
      <c r="Z116" s="3">
        <f t="shared" ref="Z116" si="41">Z113+Z114*$D$78+Z115*$E$78</f>
        <v>14819.598616457404</v>
      </c>
      <c r="AA116" s="3">
        <f t="shared" ref="AA116" si="42">AA113+AA114*$D$78+AA115*$E$78</f>
        <v>14819.598616457404</v>
      </c>
      <c r="AB116" s="28">
        <f t="shared" ref="AB116" si="43">AB113+AB114*$D$78+AB115*$E$78</f>
        <v>14819.598616457404</v>
      </c>
    </row>
    <row r="117" spans="2:28" x14ac:dyDescent="0.25">
      <c r="B117" s="10" t="s">
        <v>7</v>
      </c>
      <c r="C117" s="3">
        <f>C116</f>
        <v>0</v>
      </c>
      <c r="D117" s="3">
        <f>D116+C117</f>
        <v>6986.0306358411581</v>
      </c>
      <c r="E117" s="3">
        <f t="shared" ref="E117:AB117" si="44">E116+D117</f>
        <v>22102.59608624973</v>
      </c>
      <c r="F117" s="3">
        <f t="shared" si="44"/>
        <v>37095.273393503361</v>
      </c>
      <c r="G117" s="3">
        <f t="shared" si="44"/>
        <v>51989.256922116336</v>
      </c>
      <c r="H117" s="3">
        <f t="shared" si="44"/>
        <v>66808.855538573742</v>
      </c>
      <c r="I117" s="3">
        <f t="shared" si="44"/>
        <v>81628.454155031141</v>
      </c>
      <c r="J117" s="3">
        <f t="shared" si="44"/>
        <v>96448.052771488539</v>
      </c>
      <c r="K117" s="3">
        <f t="shared" si="44"/>
        <v>111267.65138794594</v>
      </c>
      <c r="L117" s="3">
        <f t="shared" si="44"/>
        <v>126087.25000440334</v>
      </c>
      <c r="M117" s="3">
        <f t="shared" si="44"/>
        <v>140906.84862086075</v>
      </c>
      <c r="N117" s="3">
        <f t="shared" si="44"/>
        <v>155726.44723731815</v>
      </c>
      <c r="O117" s="3">
        <f t="shared" si="44"/>
        <v>170546.04585377555</v>
      </c>
      <c r="P117" s="3">
        <f t="shared" si="44"/>
        <v>185365.64447023295</v>
      </c>
      <c r="Q117" s="3">
        <f t="shared" si="44"/>
        <v>200185.24308669035</v>
      </c>
      <c r="R117" s="3">
        <f t="shared" si="44"/>
        <v>215004.84170314774</v>
      </c>
      <c r="S117" s="3">
        <f t="shared" si="44"/>
        <v>229824.44031960514</v>
      </c>
      <c r="T117" s="3">
        <f t="shared" si="44"/>
        <v>244644.03893606254</v>
      </c>
      <c r="U117" s="3">
        <f t="shared" si="44"/>
        <v>259463.63755251994</v>
      </c>
      <c r="V117" s="3">
        <f t="shared" si="44"/>
        <v>274283.23616897734</v>
      </c>
      <c r="W117" s="3">
        <f t="shared" si="44"/>
        <v>289102.83478543477</v>
      </c>
      <c r="X117" s="3">
        <f t="shared" si="44"/>
        <v>303922.43340189219</v>
      </c>
      <c r="Y117" s="3">
        <f t="shared" si="44"/>
        <v>318742.03201834962</v>
      </c>
      <c r="Z117" s="3">
        <f t="shared" si="44"/>
        <v>333561.63063480705</v>
      </c>
      <c r="AA117" s="3">
        <f t="shared" si="44"/>
        <v>348381.22925126448</v>
      </c>
      <c r="AB117" s="28">
        <f t="shared" si="44"/>
        <v>363200.82786772191</v>
      </c>
    </row>
    <row r="118" spans="2:28" ht="15.75" thickBot="1" x14ac:dyDescent="0.3">
      <c r="B118" s="12" t="s">
        <v>146</v>
      </c>
      <c r="C118" s="29">
        <f ca="1">IF((C112-$C112)&lt;$C$105,SUM($C116:C116),SUM(OFFSET(C116,0,-($C105-1)):C116))</f>
        <v>0</v>
      </c>
      <c r="D118" s="29">
        <f ca="1">IF((D112-$C112)&lt;$C$105,SUM($C116:D116),SUM(OFFSET(D116,0,-($C105-1)):D116))</f>
        <v>6986.0306358411581</v>
      </c>
      <c r="E118" s="29">
        <f ca="1">IF((E112-$C112)&lt;$C$105,SUM($C116:E116),SUM(OFFSET(E116,0,-($C105-1)):E116))</f>
        <v>22102.59608624973</v>
      </c>
      <c r="F118" s="29">
        <f ca="1">IF((F112-$C112)&lt;$C$105,SUM($C116:F116),SUM(OFFSET(F116,0,-($C105-1)):F116))</f>
        <v>37095.273393503361</v>
      </c>
      <c r="G118" s="29">
        <f ca="1">IF((G112-$C112)&lt;$C$105,SUM($C116:G116),SUM(OFFSET(G116,0,-($C105-1)):G116))</f>
        <v>51989.256922116336</v>
      </c>
      <c r="H118" s="29">
        <f ca="1">IF((H112-$C112)&lt;$C$105,SUM($C116:H116),SUM(OFFSET(H116,0,-($C105-1)):H116))</f>
        <v>66808.855538573742</v>
      </c>
      <c r="I118" s="29">
        <f ca="1">IF((I112-$C112)&lt;$C$105,SUM($C116:I116),SUM(OFFSET(I116,0,-($C105-1)):I116))</f>
        <v>81628.454155031141</v>
      </c>
      <c r="J118" s="29">
        <f ca="1">IF((J112-$C112)&lt;$C$105,SUM($C116:J116),SUM(OFFSET(J116,0,-($C105-1)):J116))</f>
        <v>96448.052771488539</v>
      </c>
      <c r="K118" s="29">
        <f ca="1">IF((K112-$C112)&lt;$C$105,SUM($C116:K116),SUM(OFFSET(K116,0,-($C105-1)):K116))</f>
        <v>111267.65138794594</v>
      </c>
      <c r="L118" s="29">
        <f ca="1">IF((L112-$C112)&lt;$C$105,SUM($C116:L116),SUM(OFFSET(L116,0,-($C105-1)):L116))</f>
        <v>126087.25000440334</v>
      </c>
      <c r="M118" s="29">
        <f ca="1">IF((M112-$C112)&lt;$C$105,SUM($C116:M116),SUM(OFFSET(M116,0,-($C105-1)):M116))</f>
        <v>140906.84862086075</v>
      </c>
      <c r="N118" s="29">
        <f ca="1">IF((N112-$C112)&lt;$C$105,SUM($C116:N116),SUM(OFFSET(N116,0,-($C105-1)):N116))</f>
        <v>148740.41660147699</v>
      </c>
      <c r="O118" s="29">
        <f ca="1">IF((O112-$C112)&lt;$C$105,SUM($C116:O116),SUM(OFFSET(O116,0,-($C105-1)):O116))</f>
        <v>148443.4497675258</v>
      </c>
      <c r="P118" s="29">
        <f ca="1">IF((P112-$C112)&lt;$C$105,SUM($C116:P116),SUM(OFFSET(P116,0,-($C105-1)):P116))</f>
        <v>148270.37107672959</v>
      </c>
      <c r="Q118" s="29">
        <f ca="1">IF((Q112-$C112)&lt;$C$105,SUM($C116:Q116),SUM(OFFSET(Q116,0,-($C105-1)):Q116))</f>
        <v>148195.98616457402</v>
      </c>
      <c r="R118" s="29">
        <f ca="1">IF((R112-$C112)&lt;$C$105,SUM($C116:R116),SUM(OFFSET(R116,0,-($C105-1)):R116))</f>
        <v>148195.98616457402</v>
      </c>
      <c r="S118" s="29">
        <f ca="1">IF((S112-$C112)&lt;$C$105,SUM($C116:S116),SUM(OFFSET(S116,0,-($C105-1)):S116))</f>
        <v>148195.98616457402</v>
      </c>
      <c r="T118" s="29">
        <f ca="1">IF((T112-$C112)&lt;$C$105,SUM($C116:T116),SUM(OFFSET(T116,0,-($C105-1)):T116))</f>
        <v>148195.98616457402</v>
      </c>
      <c r="U118" s="29">
        <f ca="1">IF((U112-$C112)&lt;$C$105,SUM($C116:U116),SUM(OFFSET(U116,0,-($C105-1)):U116))</f>
        <v>148195.98616457402</v>
      </c>
      <c r="V118" s="29">
        <f ca="1">IF((V112-$C112)&lt;$C$105,SUM($C116:V116),SUM(OFFSET(V116,0,-($C105-1)):V116))</f>
        <v>148195.98616457402</v>
      </c>
      <c r="W118" s="29">
        <f ca="1">IF((W112-$C112)&lt;$C$105,SUM($C116:W116),SUM(OFFSET(W116,0,-($C105-1)):W116))</f>
        <v>148195.98616457402</v>
      </c>
      <c r="X118" s="29">
        <f ca="1">IF((X112-$C112)&lt;$C$105,SUM($C116:X116),SUM(OFFSET(X116,0,-($C105-1)):X116))</f>
        <v>148195.98616457402</v>
      </c>
      <c r="Y118" s="29">
        <f ca="1">IF((Y112-$C112)&lt;$C$105,SUM($C116:Y116),SUM(OFFSET(Y116,0,-($C105-1)):Y116))</f>
        <v>148195.98616457402</v>
      </c>
      <c r="Z118" s="29">
        <f ca="1">IF((Z112-$C112)&lt;$C$105,SUM($C116:Z116),SUM(OFFSET(Z116,0,-($C105-1)):Z116))</f>
        <v>148195.98616457402</v>
      </c>
      <c r="AA118" s="29">
        <f ca="1">IF((AA112-$C112)&lt;$C$105,SUM($C116:AA116),SUM(OFFSET(AA116,0,-($C105-1)):AA116))</f>
        <v>148195.98616457402</v>
      </c>
      <c r="AB118" s="30">
        <f ca="1">IF((AB112-$C112)&lt;$C$105,SUM($C116:AB116),SUM(OFFSET(AB116,0,-($C105-1)):AB116))</f>
        <v>148195.98616457402</v>
      </c>
    </row>
    <row r="119" spans="2:28" x14ac:dyDescent="0.25">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row>
    <row r="120" spans="2:28" x14ac:dyDescent="0.25">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row>
    <row r="121" spans="2:28" ht="16.5" thickBot="1" x14ac:dyDescent="0.3">
      <c r="B121" s="48" t="s">
        <v>398</v>
      </c>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row>
    <row r="122" spans="2:28" x14ac:dyDescent="0.25">
      <c r="B122" s="7"/>
      <c r="C122" s="8">
        <v>2025</v>
      </c>
      <c r="D122" s="8">
        <v>2026</v>
      </c>
      <c r="E122" s="8">
        <v>2027</v>
      </c>
      <c r="F122" s="8">
        <v>2028</v>
      </c>
      <c r="G122" s="8">
        <v>2029</v>
      </c>
      <c r="H122" s="8">
        <v>2030</v>
      </c>
      <c r="I122" s="8">
        <v>2031</v>
      </c>
      <c r="J122" s="8">
        <v>2032</v>
      </c>
      <c r="K122" s="8">
        <v>2033</v>
      </c>
      <c r="L122" s="8">
        <v>2034</v>
      </c>
      <c r="M122" s="8">
        <v>2035</v>
      </c>
      <c r="N122" s="8">
        <v>2036</v>
      </c>
      <c r="O122" s="8">
        <v>2037</v>
      </c>
      <c r="P122" s="8">
        <v>2038</v>
      </c>
      <c r="Q122" s="8">
        <v>2039</v>
      </c>
      <c r="R122" s="8">
        <v>2040</v>
      </c>
      <c r="S122" s="8">
        <v>2041</v>
      </c>
      <c r="T122" s="8">
        <v>2042</v>
      </c>
      <c r="U122" s="8">
        <v>2043</v>
      </c>
      <c r="V122" s="8">
        <v>2044</v>
      </c>
      <c r="W122" s="8">
        <v>2045</v>
      </c>
      <c r="X122" s="8">
        <v>2046</v>
      </c>
      <c r="Y122" s="8">
        <v>2047</v>
      </c>
      <c r="Z122" s="8">
        <v>2048</v>
      </c>
      <c r="AA122" s="8">
        <v>2049</v>
      </c>
      <c r="AB122" s="9">
        <v>2050</v>
      </c>
    </row>
    <row r="123" spans="2:28" x14ac:dyDescent="0.25">
      <c r="B123" s="10" t="s">
        <v>6</v>
      </c>
      <c r="C123" s="3">
        <f>(C7*C16/C17+C9*C29/C30+C11*C41/C42)*$C$101*$C$96/1000000/1000</f>
        <v>0</v>
      </c>
      <c r="D123" s="3">
        <f t="shared" ref="D123:G123" si="45">(D7*D16/D17+D9*D29/D30+D11*D41/D42)*$C$101*$C$96/1000000/1000</f>
        <v>1572.8199669792511</v>
      </c>
      <c r="E123" s="3">
        <f t="shared" si="45"/>
        <v>3415.0569608898704</v>
      </c>
      <c r="F123" s="3">
        <f t="shared" si="45"/>
        <v>3393.4932973168929</v>
      </c>
      <c r="G123" s="3">
        <f t="shared" si="45"/>
        <v>3377.2258645950265</v>
      </c>
      <c r="H123" s="3">
        <f>(H7*$H$16/$H$17+H9*$H$29/$H$30+H11*$H$41/$H$42)*$C$101*$C$96/1000000/1000</f>
        <v>3365.9308395734761</v>
      </c>
      <c r="I123" s="3">
        <f t="shared" ref="I123:AB123" si="46">(I7*$H$16/$H$17+I9*$H$29/$H$30+I11*$H$41/$H$42)*$C$101*$C$96/1000000/1000</f>
        <v>3365.9308395734761</v>
      </c>
      <c r="J123" s="3">
        <f t="shared" si="46"/>
        <v>3365.9308395734761</v>
      </c>
      <c r="K123" s="3">
        <f t="shared" si="46"/>
        <v>3365.9308395734761</v>
      </c>
      <c r="L123" s="3">
        <f t="shared" si="46"/>
        <v>3365.9308395734761</v>
      </c>
      <c r="M123" s="3">
        <f t="shared" si="46"/>
        <v>3365.9308395734761</v>
      </c>
      <c r="N123" s="3">
        <f t="shared" si="46"/>
        <v>3365.9308395734761</v>
      </c>
      <c r="O123" s="3">
        <f t="shared" si="46"/>
        <v>3365.9308395734761</v>
      </c>
      <c r="P123" s="3">
        <f t="shared" si="46"/>
        <v>3365.9308395734761</v>
      </c>
      <c r="Q123" s="3">
        <f t="shared" si="46"/>
        <v>3365.9308395734761</v>
      </c>
      <c r="R123" s="3">
        <f t="shared" si="46"/>
        <v>3365.9308395734761</v>
      </c>
      <c r="S123" s="3">
        <f t="shared" si="46"/>
        <v>3365.9308395734761</v>
      </c>
      <c r="T123" s="3">
        <f t="shared" si="46"/>
        <v>3365.9308395734761</v>
      </c>
      <c r="U123" s="3">
        <f t="shared" si="46"/>
        <v>3365.9308395734761</v>
      </c>
      <c r="V123" s="3">
        <f t="shared" si="46"/>
        <v>3365.9308395734761</v>
      </c>
      <c r="W123" s="3">
        <f t="shared" si="46"/>
        <v>3365.9308395734761</v>
      </c>
      <c r="X123" s="3">
        <f t="shared" si="46"/>
        <v>3365.9308395734761</v>
      </c>
      <c r="Y123" s="3">
        <f t="shared" si="46"/>
        <v>3365.9308395734761</v>
      </c>
      <c r="Z123" s="3">
        <f t="shared" si="46"/>
        <v>3365.9308395734761</v>
      </c>
      <c r="AA123" s="3">
        <f t="shared" si="46"/>
        <v>3365.9308395734761</v>
      </c>
      <c r="AB123" s="3">
        <f t="shared" si="46"/>
        <v>3365.9308395734761</v>
      </c>
    </row>
    <row r="124" spans="2:28" x14ac:dyDescent="0.25">
      <c r="B124" s="10" t="s">
        <v>7</v>
      </c>
      <c r="C124" s="3">
        <f>C123</f>
        <v>0</v>
      </c>
      <c r="D124" s="3">
        <f>C124+D123</f>
        <v>1572.8199669792511</v>
      </c>
      <c r="E124" s="3">
        <f t="shared" ref="E124:AB124" si="47">D124+E123</f>
        <v>4987.8769278691216</v>
      </c>
      <c r="F124" s="3">
        <f t="shared" si="47"/>
        <v>8381.3702251860141</v>
      </c>
      <c r="G124" s="3">
        <f t="shared" si="47"/>
        <v>11758.59608978104</v>
      </c>
      <c r="H124" s="3">
        <f t="shared" si="47"/>
        <v>15124.526929354517</v>
      </c>
      <c r="I124" s="3">
        <f t="shared" si="47"/>
        <v>18490.457768927994</v>
      </c>
      <c r="J124" s="3">
        <f t="shared" si="47"/>
        <v>21856.388608501471</v>
      </c>
      <c r="K124" s="3">
        <f t="shared" si="47"/>
        <v>25222.319448074948</v>
      </c>
      <c r="L124" s="3">
        <f t="shared" si="47"/>
        <v>28588.250287648425</v>
      </c>
      <c r="M124" s="3">
        <f t="shared" si="47"/>
        <v>31954.181127221902</v>
      </c>
      <c r="N124" s="3">
        <f t="shared" si="47"/>
        <v>35320.111966795375</v>
      </c>
      <c r="O124" s="3">
        <f t="shared" si="47"/>
        <v>38686.042806368852</v>
      </c>
      <c r="P124" s="3">
        <f t="shared" si="47"/>
        <v>42051.973645942329</v>
      </c>
      <c r="Q124" s="3">
        <f t="shared" si="47"/>
        <v>45417.904485515806</v>
      </c>
      <c r="R124" s="3">
        <f t="shared" si="47"/>
        <v>48783.835325089283</v>
      </c>
      <c r="S124" s="3">
        <f t="shared" si="47"/>
        <v>52149.76616466276</v>
      </c>
      <c r="T124" s="3">
        <f t="shared" si="47"/>
        <v>55515.697004236237</v>
      </c>
      <c r="U124" s="3">
        <f t="shared" si="47"/>
        <v>58881.627843809714</v>
      </c>
      <c r="V124" s="3">
        <f t="shared" si="47"/>
        <v>62247.558683383191</v>
      </c>
      <c r="W124" s="3">
        <f t="shared" si="47"/>
        <v>65613.489522956661</v>
      </c>
      <c r="X124" s="3">
        <f t="shared" si="47"/>
        <v>68979.420362530131</v>
      </c>
      <c r="Y124" s="3">
        <f t="shared" si="47"/>
        <v>72345.3512021036</v>
      </c>
      <c r="Z124" s="3">
        <f t="shared" si="47"/>
        <v>75711.28204167707</v>
      </c>
      <c r="AA124" s="3">
        <f t="shared" si="47"/>
        <v>79077.21288125054</v>
      </c>
      <c r="AB124" s="28">
        <f t="shared" si="47"/>
        <v>82443.14372082401</v>
      </c>
    </row>
    <row r="125" spans="2:28" ht="15.75" thickBot="1" x14ac:dyDescent="0.3">
      <c r="B125" s="12" t="s">
        <v>146</v>
      </c>
      <c r="C125" s="29">
        <f ca="1">IF((C122-$C122)&lt;$C$105,SUM($C123:C123),SUM(OFFSET(C123,0,-($C105-1)):C123))</f>
        <v>0</v>
      </c>
      <c r="D125" s="29">
        <f ca="1">IF((D122-$C122)&lt;$C$105,SUM($C123:D123),SUM(OFFSET(D123,0,-($C105-1)):D123))</f>
        <v>1572.8199669792511</v>
      </c>
      <c r="E125" s="29">
        <f ca="1">IF((E122-$C122)&lt;$C$105,SUM($C123:E123),SUM(OFFSET(E123,0,-($C105-1)):E123))</f>
        <v>4987.8769278691216</v>
      </c>
      <c r="F125" s="29">
        <f ca="1">IF((F122-$C122)&lt;$C$105,SUM($C123:F123),SUM(OFFSET(F123,0,-($C105-1)):F123))</f>
        <v>8381.3702251860141</v>
      </c>
      <c r="G125" s="29">
        <f ca="1">IF((G122-$C122)&lt;$C$105,SUM($C123:G123),SUM(OFFSET(G123,0,-($C105-1)):G123))</f>
        <v>11758.59608978104</v>
      </c>
      <c r="H125" s="29">
        <f ca="1">IF((H122-$C122)&lt;$C$105,SUM($C123:H123),SUM(OFFSET(H123,0,-($C105-1)):H123))</f>
        <v>15124.526929354517</v>
      </c>
      <c r="I125" s="29">
        <f ca="1">IF((I122-$C122)&lt;$C$105,SUM($C123:I123),SUM(OFFSET(I123,0,-($C105-1)):I123))</f>
        <v>18490.457768927994</v>
      </c>
      <c r="J125" s="29">
        <f ca="1">IF((J122-$C122)&lt;$C$105,SUM($C123:J123),SUM(OFFSET(J123,0,-($C105-1)):J123))</f>
        <v>21856.388608501471</v>
      </c>
      <c r="K125" s="29">
        <f ca="1">IF((K122-$C122)&lt;$C$105,SUM($C123:K123),SUM(OFFSET(K123,0,-($C105-1)):K123))</f>
        <v>25222.319448074948</v>
      </c>
      <c r="L125" s="29">
        <f ca="1">IF((L122-$C122)&lt;$C$105,SUM($C123:L123),SUM(OFFSET(L123,0,-($C105-1)):L123))</f>
        <v>28588.250287648425</v>
      </c>
      <c r="M125" s="29">
        <f ca="1">IF((M122-$C122)&lt;$C$105,SUM($C123:M123),SUM(OFFSET(M123,0,-($C105-1)):M123))</f>
        <v>31954.181127221902</v>
      </c>
      <c r="N125" s="29">
        <f ca="1">IF((N122-$C122)&lt;$C$105,SUM($C123:N123),SUM(OFFSET(N123,0,-($C105-1)):N123))</f>
        <v>33747.291999816123</v>
      </c>
      <c r="O125" s="29">
        <f ca="1">IF((O122-$C122)&lt;$C$105,SUM($C123:O123),SUM(OFFSET(O123,0,-($C105-1)):O123))</f>
        <v>33698.165878499734</v>
      </c>
      <c r="P125" s="29">
        <f ca="1">IF((P122-$C122)&lt;$C$105,SUM($C123:P123),SUM(OFFSET(P123,0,-($C105-1)):P123))</f>
        <v>33670.603420756313</v>
      </c>
      <c r="Q125" s="29">
        <f ca="1">IF((Q122-$C122)&lt;$C$105,SUM($C123:Q123),SUM(OFFSET(Q123,0,-($C105-1)):Q123))</f>
        <v>33659.308395734763</v>
      </c>
      <c r="R125" s="29">
        <f ca="1">IF((R122-$C122)&lt;$C$105,SUM($C123:R123),SUM(OFFSET(R123,0,-($C105-1)):R123))</f>
        <v>33659.308395734763</v>
      </c>
      <c r="S125" s="29">
        <f ca="1">IF((S122-$C122)&lt;$C$105,SUM($C123:S123),SUM(OFFSET(S123,0,-($C105-1)):S123))</f>
        <v>33659.308395734763</v>
      </c>
      <c r="T125" s="29">
        <f ca="1">IF((T122-$C122)&lt;$C$105,SUM($C123:T123),SUM(OFFSET(T123,0,-($C105-1)):T123))</f>
        <v>33659.308395734763</v>
      </c>
      <c r="U125" s="29">
        <f ca="1">IF((U122-$C122)&lt;$C$105,SUM($C123:U123),SUM(OFFSET(U123,0,-($C105-1)):U123))</f>
        <v>33659.308395734763</v>
      </c>
      <c r="V125" s="29">
        <f ca="1">IF((V122-$C122)&lt;$C$105,SUM($C123:V123),SUM(OFFSET(V123,0,-($C105-1)):V123))</f>
        <v>33659.308395734763</v>
      </c>
      <c r="W125" s="29">
        <f ca="1">IF((W122-$C122)&lt;$C$105,SUM($C123:W123),SUM(OFFSET(W123,0,-($C105-1)):W123))</f>
        <v>33659.308395734763</v>
      </c>
      <c r="X125" s="29">
        <f ca="1">IF((X122-$C122)&lt;$C$105,SUM($C123:X123),SUM(OFFSET(X123,0,-($C105-1)):X123))</f>
        <v>33659.308395734763</v>
      </c>
      <c r="Y125" s="29">
        <f ca="1">IF((Y122-$C122)&lt;$C$105,SUM($C123:Y123),SUM(OFFSET(Y123,0,-($C105-1)):Y123))</f>
        <v>33659.308395734763</v>
      </c>
      <c r="Z125" s="29">
        <f ca="1">IF((Z122-$C122)&lt;$C$105,SUM($C123:Z123),SUM(OFFSET(Z123,0,-($C105-1)):Z123))</f>
        <v>33659.308395734763</v>
      </c>
      <c r="AA125" s="29">
        <f ca="1">IF((AA122-$C122)&lt;$C$105,SUM($C123:AA123),SUM(OFFSET(AA123,0,-($C105-1)):AA123))</f>
        <v>33659.308395734763</v>
      </c>
      <c r="AB125" s="30">
        <f ca="1">IF((AB122-$C122)&lt;$C$105,SUM($C123:AB123),SUM(OFFSET(AB123,0,-($C105-1)):AB123))</f>
        <v>33659.308395734763</v>
      </c>
    </row>
    <row r="126" spans="2:28" x14ac:dyDescent="0.25">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row>
    <row r="128" spans="2:28" ht="16.5" thickBot="1" x14ac:dyDescent="0.3">
      <c r="B128" s="48" t="s">
        <v>263</v>
      </c>
    </row>
    <row r="129" spans="2:28" x14ac:dyDescent="0.25">
      <c r="B129" s="7"/>
      <c r="C129" s="8">
        <v>2025</v>
      </c>
      <c r="D129" s="8">
        <v>2026</v>
      </c>
      <c r="E129" s="8">
        <v>2027</v>
      </c>
      <c r="F129" s="8">
        <v>2028</v>
      </c>
      <c r="G129" s="8">
        <v>2029</v>
      </c>
      <c r="H129" s="8">
        <v>2030</v>
      </c>
      <c r="I129" s="8">
        <v>2031</v>
      </c>
      <c r="J129" s="8">
        <v>2032</v>
      </c>
      <c r="K129" s="8">
        <v>2033</v>
      </c>
      <c r="L129" s="8">
        <v>2034</v>
      </c>
      <c r="M129" s="8">
        <v>2035</v>
      </c>
      <c r="N129" s="8">
        <v>2036</v>
      </c>
      <c r="O129" s="8">
        <v>2037</v>
      </c>
      <c r="P129" s="8">
        <v>2038</v>
      </c>
      <c r="Q129" s="8">
        <v>2039</v>
      </c>
      <c r="R129" s="8">
        <v>2040</v>
      </c>
      <c r="S129" s="8">
        <v>2041</v>
      </c>
      <c r="T129" s="8">
        <v>2042</v>
      </c>
      <c r="U129" s="8">
        <v>2043</v>
      </c>
      <c r="V129" s="8">
        <v>2044</v>
      </c>
      <c r="W129" s="8">
        <v>2045</v>
      </c>
      <c r="X129" s="8">
        <v>2046</v>
      </c>
      <c r="Y129" s="8">
        <v>2047</v>
      </c>
      <c r="Z129" s="8">
        <v>2048</v>
      </c>
      <c r="AA129" s="8">
        <v>2049</v>
      </c>
      <c r="AB129" s="9">
        <v>2050</v>
      </c>
    </row>
    <row r="130" spans="2:28" x14ac:dyDescent="0.25">
      <c r="B130" s="10" t="s">
        <v>98</v>
      </c>
      <c r="C130" s="3">
        <f>(C7*C16*$C$53+C9*C29*$D$53+C11*C41*$D$53)/(1-$C$59)/$C$58/1000</f>
        <v>0</v>
      </c>
      <c r="D130" s="3">
        <f>(D7*D16*$C$53+D9*D29*$D$53+D11*D41*$D$53)/(1-$C$59)/$C$58/1000</f>
        <v>7080.157063415274</v>
      </c>
      <c r="E130" s="3">
        <f>(E7*E16*$C$53+E9*E29*$D$53+E11*E41*$D$53)/(1-$C$59)/$C$58/1000</f>
        <v>15649.905038110302</v>
      </c>
      <c r="F130" s="3">
        <f>(F7*F16*$C$53+F9*F29*$D$53+F11*F41*$D$53)/(1-$C$59)/$C$58/1000</f>
        <v>15547.225977906777</v>
      </c>
      <c r="G130" s="3">
        <f>(G7*G16*$C$53+G9*G29*$D$53+G11*G41*$D$53)/(1-$C$59)/$C$58/1000</f>
        <v>15462.93358362152</v>
      </c>
      <c r="H130" s="3">
        <f t="shared" ref="H130:AB130" si="48">(H7*$H$16*$C$53+H9*$H$29*$D$53+H11*$H$41*$D$53)/(1-$C$59)/$C$58/1000</f>
        <v>15397.257309692663</v>
      </c>
      <c r="I130" s="3">
        <f t="shared" si="48"/>
        <v>15397.257309692663</v>
      </c>
      <c r="J130" s="3">
        <f t="shared" si="48"/>
        <v>15397.257309692663</v>
      </c>
      <c r="K130" s="3">
        <f t="shared" si="48"/>
        <v>15397.257309692663</v>
      </c>
      <c r="L130" s="3">
        <f t="shared" si="48"/>
        <v>15397.257309692663</v>
      </c>
      <c r="M130" s="3">
        <f t="shared" si="48"/>
        <v>15397.257309692663</v>
      </c>
      <c r="N130" s="3">
        <f t="shared" si="48"/>
        <v>15397.257309692663</v>
      </c>
      <c r="O130" s="3">
        <f t="shared" si="48"/>
        <v>15397.257309692663</v>
      </c>
      <c r="P130" s="3">
        <f t="shared" si="48"/>
        <v>15397.257309692663</v>
      </c>
      <c r="Q130" s="3">
        <f t="shared" si="48"/>
        <v>15397.257309692663</v>
      </c>
      <c r="R130" s="3">
        <f t="shared" si="48"/>
        <v>15397.257309692663</v>
      </c>
      <c r="S130" s="3">
        <f t="shared" si="48"/>
        <v>15397.257309692663</v>
      </c>
      <c r="T130" s="3">
        <f t="shared" si="48"/>
        <v>15397.257309692663</v>
      </c>
      <c r="U130" s="3">
        <f t="shared" si="48"/>
        <v>15397.257309692663</v>
      </c>
      <c r="V130" s="3">
        <f t="shared" si="48"/>
        <v>15397.257309692663</v>
      </c>
      <c r="W130" s="3">
        <f t="shared" si="48"/>
        <v>15397.257309692663</v>
      </c>
      <c r="X130" s="3">
        <f t="shared" si="48"/>
        <v>15397.257309692663</v>
      </c>
      <c r="Y130" s="3">
        <f t="shared" si="48"/>
        <v>15397.257309692663</v>
      </c>
      <c r="Z130" s="3">
        <f t="shared" si="48"/>
        <v>15397.257309692663</v>
      </c>
      <c r="AA130" s="3">
        <f t="shared" si="48"/>
        <v>15397.257309692663</v>
      </c>
      <c r="AB130" s="3">
        <f t="shared" si="48"/>
        <v>15397.257309692663</v>
      </c>
    </row>
    <row r="131" spans="2:28" x14ac:dyDescent="0.25">
      <c r="B131" s="10" t="s">
        <v>3</v>
      </c>
      <c r="C131" s="3">
        <f>C130*$C$68*453.6/1000000</f>
        <v>0</v>
      </c>
      <c r="D131" s="3">
        <f t="shared" ref="D131:G131" si="49">D130*$C$68*453.6/1000000</f>
        <v>1597.4295679482746</v>
      </c>
      <c r="E131" s="3">
        <f t="shared" si="49"/>
        <v>3530.9415906376707</v>
      </c>
      <c r="F131" s="3">
        <f t="shared" si="49"/>
        <v>3507.775075359953</v>
      </c>
      <c r="G131" s="3">
        <f t="shared" si="49"/>
        <v>3488.756971414181</v>
      </c>
      <c r="H131" s="3">
        <f>H130*$C$69*453.6/1000000</f>
        <v>2358.2137509282011</v>
      </c>
      <c r="I131" s="3">
        <f t="shared" ref="I131:V131" si="50">I130*$C$69*453.6/1000000</f>
        <v>2358.2137509282011</v>
      </c>
      <c r="J131" s="3">
        <f t="shared" si="50"/>
        <v>2358.2137509282011</v>
      </c>
      <c r="K131" s="3">
        <f t="shared" si="50"/>
        <v>2358.2137509282011</v>
      </c>
      <c r="L131" s="3">
        <f t="shared" si="50"/>
        <v>2358.2137509282011</v>
      </c>
      <c r="M131" s="3">
        <f t="shared" si="50"/>
        <v>2358.2137509282011</v>
      </c>
      <c r="N131" s="3">
        <f t="shared" si="50"/>
        <v>2358.2137509282011</v>
      </c>
      <c r="O131" s="3">
        <f t="shared" si="50"/>
        <v>2358.2137509282011</v>
      </c>
      <c r="P131" s="3">
        <f t="shared" si="50"/>
        <v>2358.2137509282011</v>
      </c>
      <c r="Q131" s="3">
        <f t="shared" si="50"/>
        <v>2358.2137509282011</v>
      </c>
      <c r="R131" s="3">
        <f t="shared" si="50"/>
        <v>2358.2137509282011</v>
      </c>
      <c r="S131" s="3">
        <f t="shared" si="50"/>
        <v>2358.2137509282011</v>
      </c>
      <c r="T131" s="3">
        <f t="shared" si="50"/>
        <v>2358.2137509282011</v>
      </c>
      <c r="U131" s="3">
        <f t="shared" si="50"/>
        <v>2358.2137509282011</v>
      </c>
      <c r="V131" s="3">
        <f t="shared" si="50"/>
        <v>2358.2137509282011</v>
      </c>
      <c r="W131" s="3">
        <f t="shared" ref="W131:AB131" si="51">W130*$C$70*453.6/1000000</f>
        <v>0</v>
      </c>
      <c r="X131" s="3">
        <f t="shared" si="51"/>
        <v>0</v>
      </c>
      <c r="Y131" s="3">
        <f t="shared" si="51"/>
        <v>0</v>
      </c>
      <c r="Z131" s="3">
        <f t="shared" si="51"/>
        <v>0</v>
      </c>
      <c r="AA131" s="3">
        <f t="shared" si="51"/>
        <v>0</v>
      </c>
      <c r="AB131" s="3">
        <f t="shared" si="51"/>
        <v>0</v>
      </c>
    </row>
    <row r="132" spans="2:28" x14ac:dyDescent="0.25">
      <c r="B132" s="10" t="s">
        <v>5</v>
      </c>
      <c r="C132" s="37">
        <f>C130*$D$68*453.6/1000000</f>
        <v>0</v>
      </c>
      <c r="D132" s="43">
        <f t="shared" ref="D132:G132" si="52">D130*$D$68*453.6/1000000</f>
        <v>9.6346777318955051E-2</v>
      </c>
      <c r="E132" s="43">
        <f t="shared" si="52"/>
        <v>0.21296390775860499</v>
      </c>
      <c r="F132" s="43">
        <f t="shared" si="52"/>
        <v>0.21156665110735542</v>
      </c>
      <c r="G132" s="43">
        <f t="shared" si="52"/>
        <v>0.21041960020592163</v>
      </c>
      <c r="H132" s="43">
        <f>H130*$D$69*453.6/1000000</f>
        <v>0.20952587747029777</v>
      </c>
      <c r="I132" s="43">
        <f t="shared" ref="I132:V132" si="53">I130*$D$69*453.6/1000000</f>
        <v>0.20952587747029777</v>
      </c>
      <c r="J132" s="43">
        <f t="shared" si="53"/>
        <v>0.20952587747029777</v>
      </c>
      <c r="K132" s="43">
        <f t="shared" si="53"/>
        <v>0.20952587747029777</v>
      </c>
      <c r="L132" s="43">
        <f t="shared" si="53"/>
        <v>0.20952587747029777</v>
      </c>
      <c r="M132" s="43">
        <f t="shared" si="53"/>
        <v>0.20952587747029777</v>
      </c>
      <c r="N132" s="43">
        <f t="shared" si="53"/>
        <v>0.20952587747029777</v>
      </c>
      <c r="O132" s="43">
        <f t="shared" si="53"/>
        <v>0.20952587747029777</v>
      </c>
      <c r="P132" s="43">
        <f t="shared" si="53"/>
        <v>0.20952587747029777</v>
      </c>
      <c r="Q132" s="43">
        <f t="shared" si="53"/>
        <v>0.20952587747029777</v>
      </c>
      <c r="R132" s="43">
        <f t="shared" si="53"/>
        <v>0.20952587747029777</v>
      </c>
      <c r="S132" s="43">
        <f t="shared" si="53"/>
        <v>0.20952587747029777</v>
      </c>
      <c r="T132" s="43">
        <f t="shared" si="53"/>
        <v>0.20952587747029777</v>
      </c>
      <c r="U132" s="43">
        <f t="shared" si="53"/>
        <v>0.20952587747029777</v>
      </c>
      <c r="V132" s="43">
        <f t="shared" si="53"/>
        <v>0.20952587747029777</v>
      </c>
      <c r="W132" s="43">
        <f t="shared" ref="W132:AB132" si="54">W130*$D$70*453.6/1000000</f>
        <v>0</v>
      </c>
      <c r="X132" s="43">
        <f t="shared" si="54"/>
        <v>0</v>
      </c>
      <c r="Y132" s="43">
        <f t="shared" si="54"/>
        <v>0</v>
      </c>
      <c r="Z132" s="43">
        <f t="shared" si="54"/>
        <v>0</v>
      </c>
      <c r="AA132" s="43">
        <f t="shared" si="54"/>
        <v>0</v>
      </c>
      <c r="AB132" s="43">
        <f t="shared" si="54"/>
        <v>0</v>
      </c>
    </row>
    <row r="133" spans="2:28" x14ac:dyDescent="0.25">
      <c r="B133" s="10" t="s">
        <v>4</v>
      </c>
      <c r="C133" s="37">
        <f>C130*$E$68*453.6/1000000</f>
        <v>0</v>
      </c>
      <c r="D133" s="43">
        <f t="shared" ref="D133:G133" si="55">D130*$E$68*453.6/1000000</f>
        <v>1.2846236975860672E-2</v>
      </c>
      <c r="E133" s="43">
        <f t="shared" si="55"/>
        <v>2.8395187701147333E-2</v>
      </c>
      <c r="F133" s="43">
        <f t="shared" si="55"/>
        <v>2.8208886814314056E-2</v>
      </c>
      <c r="G133" s="43">
        <f t="shared" si="55"/>
        <v>2.8055946694122889E-2</v>
      </c>
      <c r="H133" s="43">
        <f>H130*$E$69*453.6/1000000</f>
        <v>2.7936783662706369E-2</v>
      </c>
      <c r="I133" s="43">
        <f t="shared" ref="I133:V133" si="56">I130*$E$69*453.6/1000000</f>
        <v>2.7936783662706369E-2</v>
      </c>
      <c r="J133" s="43">
        <f t="shared" si="56"/>
        <v>2.7936783662706369E-2</v>
      </c>
      <c r="K133" s="43">
        <f t="shared" si="56"/>
        <v>2.7936783662706369E-2</v>
      </c>
      <c r="L133" s="43">
        <f t="shared" si="56"/>
        <v>2.7936783662706369E-2</v>
      </c>
      <c r="M133" s="43">
        <f t="shared" si="56"/>
        <v>2.7936783662706369E-2</v>
      </c>
      <c r="N133" s="43">
        <f t="shared" si="56"/>
        <v>2.7936783662706369E-2</v>
      </c>
      <c r="O133" s="43">
        <f t="shared" si="56"/>
        <v>2.7936783662706369E-2</v>
      </c>
      <c r="P133" s="43">
        <f t="shared" si="56"/>
        <v>2.7936783662706369E-2</v>
      </c>
      <c r="Q133" s="43">
        <f t="shared" si="56"/>
        <v>2.7936783662706369E-2</v>
      </c>
      <c r="R133" s="43">
        <f t="shared" si="56"/>
        <v>2.7936783662706369E-2</v>
      </c>
      <c r="S133" s="43">
        <f t="shared" si="56"/>
        <v>2.7936783662706369E-2</v>
      </c>
      <c r="T133" s="43">
        <f t="shared" si="56"/>
        <v>2.7936783662706369E-2</v>
      </c>
      <c r="U133" s="43">
        <f t="shared" si="56"/>
        <v>2.7936783662706369E-2</v>
      </c>
      <c r="V133" s="43">
        <f t="shared" si="56"/>
        <v>2.7936783662706369E-2</v>
      </c>
      <c r="W133" s="43">
        <f t="shared" ref="W133:AB133" si="57">W130*$E$70*453.6/1000000</f>
        <v>0</v>
      </c>
      <c r="X133" s="43">
        <f t="shared" si="57"/>
        <v>0</v>
      </c>
      <c r="Y133" s="43">
        <f t="shared" si="57"/>
        <v>0</v>
      </c>
      <c r="Z133" s="43">
        <f t="shared" si="57"/>
        <v>0</v>
      </c>
      <c r="AA133" s="43">
        <f t="shared" si="57"/>
        <v>0</v>
      </c>
      <c r="AB133" s="43">
        <f t="shared" si="57"/>
        <v>0</v>
      </c>
    </row>
    <row r="134" spans="2:28" x14ac:dyDescent="0.25">
      <c r="B134" s="10" t="s">
        <v>6</v>
      </c>
      <c r="C134" s="3">
        <f>C131+C132*$D$78+C133*$E$78</f>
        <v>0</v>
      </c>
      <c r="D134" s="3">
        <f t="shared" ref="D134:AB134" si="58">D131+D132*$D$78+D133*$E$78</f>
        <v>1603.5315305118083</v>
      </c>
      <c r="E134" s="3">
        <f t="shared" si="58"/>
        <v>3544.4293047957158</v>
      </c>
      <c r="F134" s="3">
        <f t="shared" si="58"/>
        <v>3521.1742965967519</v>
      </c>
      <c r="G134" s="3">
        <f t="shared" si="58"/>
        <v>3502.0835460938893</v>
      </c>
      <c r="H134" s="3">
        <f t="shared" si="58"/>
        <v>2371.4837231679862</v>
      </c>
      <c r="I134" s="3">
        <f t="shared" si="58"/>
        <v>2371.4837231679862</v>
      </c>
      <c r="J134" s="3">
        <f t="shared" si="58"/>
        <v>2371.4837231679862</v>
      </c>
      <c r="K134" s="3">
        <f t="shared" si="58"/>
        <v>2371.4837231679862</v>
      </c>
      <c r="L134" s="3">
        <f t="shared" si="58"/>
        <v>2371.4837231679862</v>
      </c>
      <c r="M134" s="3">
        <f t="shared" si="58"/>
        <v>2371.4837231679862</v>
      </c>
      <c r="N134" s="3">
        <f t="shared" si="58"/>
        <v>2371.4837231679862</v>
      </c>
      <c r="O134" s="3">
        <f t="shared" si="58"/>
        <v>2371.4837231679862</v>
      </c>
      <c r="P134" s="3">
        <f t="shared" si="58"/>
        <v>2371.4837231679862</v>
      </c>
      <c r="Q134" s="3">
        <f t="shared" si="58"/>
        <v>2371.4837231679862</v>
      </c>
      <c r="R134" s="3">
        <f t="shared" si="58"/>
        <v>2371.4837231679862</v>
      </c>
      <c r="S134" s="3">
        <f t="shared" si="58"/>
        <v>2371.4837231679862</v>
      </c>
      <c r="T134" s="3">
        <f t="shared" si="58"/>
        <v>2371.4837231679862</v>
      </c>
      <c r="U134" s="3">
        <f t="shared" si="58"/>
        <v>2371.4837231679862</v>
      </c>
      <c r="V134" s="3">
        <f t="shared" si="58"/>
        <v>2371.4837231679862</v>
      </c>
      <c r="W134" s="3">
        <f t="shared" si="58"/>
        <v>0</v>
      </c>
      <c r="X134" s="3">
        <f t="shared" si="58"/>
        <v>0</v>
      </c>
      <c r="Y134" s="3">
        <f t="shared" si="58"/>
        <v>0</v>
      </c>
      <c r="Z134" s="3">
        <f t="shared" si="58"/>
        <v>0</v>
      </c>
      <c r="AA134" s="3">
        <f t="shared" si="58"/>
        <v>0</v>
      </c>
      <c r="AB134" s="28">
        <f t="shared" si="58"/>
        <v>0</v>
      </c>
    </row>
    <row r="135" spans="2:28" x14ac:dyDescent="0.25">
      <c r="B135" s="10" t="s">
        <v>7</v>
      </c>
      <c r="C135" s="3">
        <f>C134</f>
        <v>0</v>
      </c>
      <c r="D135" s="3">
        <f>D134+C135</f>
        <v>1603.5315305118083</v>
      </c>
      <c r="E135" s="3">
        <f t="shared" ref="E135:AB135" si="59">E134+D135</f>
        <v>5147.9608353075237</v>
      </c>
      <c r="F135" s="3">
        <f t="shared" si="59"/>
        <v>8669.1351319042751</v>
      </c>
      <c r="G135" s="3">
        <f t="shared" si="59"/>
        <v>12171.218677998164</v>
      </c>
      <c r="H135" s="3">
        <f t="shared" si="59"/>
        <v>14542.702401166151</v>
      </c>
      <c r="I135" s="3">
        <f t="shared" si="59"/>
        <v>16914.186124334137</v>
      </c>
      <c r="J135" s="3">
        <f t="shared" si="59"/>
        <v>19285.669847502122</v>
      </c>
      <c r="K135" s="3">
        <f t="shared" si="59"/>
        <v>21657.153570670107</v>
      </c>
      <c r="L135" s="3">
        <f t="shared" si="59"/>
        <v>24028.637293838092</v>
      </c>
      <c r="M135" s="3">
        <f t="shared" si="59"/>
        <v>26400.121017006077</v>
      </c>
      <c r="N135" s="3">
        <f t="shared" si="59"/>
        <v>28771.604740174062</v>
      </c>
      <c r="O135" s="3">
        <f t="shared" si="59"/>
        <v>31143.088463342046</v>
      </c>
      <c r="P135" s="3">
        <f t="shared" si="59"/>
        <v>33514.572186510035</v>
      </c>
      <c r="Q135" s="3">
        <f t="shared" si="59"/>
        <v>35886.05590967802</v>
      </c>
      <c r="R135" s="3">
        <f t="shared" si="59"/>
        <v>38257.539632846005</v>
      </c>
      <c r="S135" s="3">
        <f t="shared" si="59"/>
        <v>40629.02335601399</v>
      </c>
      <c r="T135" s="3">
        <f t="shared" si="59"/>
        <v>43000.507079181974</v>
      </c>
      <c r="U135" s="3">
        <f t="shared" si="59"/>
        <v>45371.990802349959</v>
      </c>
      <c r="V135" s="3">
        <f t="shared" si="59"/>
        <v>47743.474525517944</v>
      </c>
      <c r="W135" s="3">
        <f t="shared" si="59"/>
        <v>47743.474525517944</v>
      </c>
      <c r="X135" s="3">
        <f t="shared" si="59"/>
        <v>47743.474525517944</v>
      </c>
      <c r="Y135" s="3">
        <f t="shared" si="59"/>
        <v>47743.474525517944</v>
      </c>
      <c r="Z135" s="3">
        <f t="shared" si="59"/>
        <v>47743.474525517944</v>
      </c>
      <c r="AA135" s="3">
        <f t="shared" si="59"/>
        <v>47743.474525517944</v>
      </c>
      <c r="AB135" s="28">
        <f t="shared" si="59"/>
        <v>47743.474525517944</v>
      </c>
    </row>
    <row r="136" spans="2:28" ht="15.75" thickBot="1" x14ac:dyDescent="0.3">
      <c r="B136" s="12" t="s">
        <v>146</v>
      </c>
      <c r="C136" s="29">
        <f ca="1">IF((C129-$C129)&lt;$C$105,SUM($C134:C134),SUM(OFFSET(C134,0,-($C105-1)):C134))</f>
        <v>0</v>
      </c>
      <c r="D136" s="29">
        <f ca="1">IF((D129-$C129)&lt;$C$105,SUM($C134:D134),SUM(OFFSET(D134,0,-($C105-1)):D134))</f>
        <v>1603.5315305118083</v>
      </c>
      <c r="E136" s="29">
        <f ca="1">IF((E129-$C129)&lt;$C$105,SUM($C134:E134),SUM(OFFSET(E134,0,-($C105-1)):E134))</f>
        <v>5147.9608353075237</v>
      </c>
      <c r="F136" s="29">
        <f ca="1">IF((F129-$C129)&lt;$C$105,SUM($C134:F134),SUM(OFFSET(F134,0,-($C105-1)):F134))</f>
        <v>8669.1351319042751</v>
      </c>
      <c r="G136" s="29">
        <f ca="1">IF((G129-$C129)&lt;$C$105,SUM($C134:G134),SUM(OFFSET(G134,0,-($C105-1)):G134))</f>
        <v>12171.218677998164</v>
      </c>
      <c r="H136" s="29">
        <f ca="1">IF((H129-$C129)&lt;$C$105,SUM($C134:H134),SUM(OFFSET(H134,0,-($C105-1)):H134))</f>
        <v>14542.702401166151</v>
      </c>
      <c r="I136" s="29">
        <f ca="1">IF((I129-$C129)&lt;$C$105,SUM($C134:I134),SUM(OFFSET(I134,0,-($C105-1)):I134))</f>
        <v>16914.186124334137</v>
      </c>
      <c r="J136" s="29">
        <f ca="1">IF((J129-$C129)&lt;$C$105,SUM($C134:J134),SUM(OFFSET(J134,0,-($C105-1)):J134))</f>
        <v>19285.669847502122</v>
      </c>
      <c r="K136" s="29">
        <f ca="1">IF((K129-$C129)&lt;$C$105,SUM($C134:K134),SUM(OFFSET(K134,0,-($C105-1)):K134))</f>
        <v>21657.153570670107</v>
      </c>
      <c r="L136" s="29">
        <f ca="1">IF((L129-$C129)&lt;$C$105,SUM($C134:L134),SUM(OFFSET(L134,0,-($C105-1)):L134))</f>
        <v>24028.637293838092</v>
      </c>
      <c r="M136" s="29">
        <f ca="1">IF((M129-$C129)&lt;$C$105,SUM($C134:M134),SUM(OFFSET(M134,0,-($C105-1)):M134))</f>
        <v>26400.121017006077</v>
      </c>
      <c r="N136" s="29">
        <f ca="1">IF((N129-$C129)&lt;$C$105,SUM($C134:N134),SUM(OFFSET(N134,0,-($C105-1)):N134))</f>
        <v>27168.073209662256</v>
      </c>
      <c r="O136" s="29">
        <f ca="1">IF((O129-$C129)&lt;$C$105,SUM($C134:O134),SUM(OFFSET(O134,0,-($C105-1)):O134))</f>
        <v>25995.127628034526</v>
      </c>
      <c r="P136" s="29">
        <f ca="1">IF((P129-$C129)&lt;$C$105,SUM($C134:P134),SUM(OFFSET(P134,0,-($C105-1)):P134))</f>
        <v>24845.437054605762</v>
      </c>
      <c r="Q136" s="29">
        <f ca="1">IF((Q129-$C129)&lt;$C$105,SUM($C134:Q134),SUM(OFFSET(Q134,0,-($C105-1)):Q134))</f>
        <v>23714.83723167986</v>
      </c>
      <c r="R136" s="29">
        <f ca="1">IF((R129-$C129)&lt;$C$105,SUM($C134:R134),SUM(OFFSET(R134,0,-($C105-1)):R134))</f>
        <v>23714.83723167986</v>
      </c>
      <c r="S136" s="29">
        <f ca="1">IF((S129-$C129)&lt;$C$105,SUM($C134:S134),SUM(OFFSET(S134,0,-($C105-1)):S134))</f>
        <v>23714.83723167986</v>
      </c>
      <c r="T136" s="29">
        <f ca="1">IF((T129-$C129)&lt;$C$105,SUM($C134:T134),SUM(OFFSET(T134,0,-($C105-1)):T134))</f>
        <v>23714.83723167986</v>
      </c>
      <c r="U136" s="29">
        <f ca="1">IF((U129-$C129)&lt;$C$105,SUM($C134:U134),SUM(OFFSET(U134,0,-($C105-1)):U134))</f>
        <v>23714.83723167986</v>
      </c>
      <c r="V136" s="29">
        <f ca="1">IF((V129-$C129)&lt;$C$105,SUM($C134:V134),SUM(OFFSET(V134,0,-($C105-1)):V134))</f>
        <v>23714.83723167986</v>
      </c>
      <c r="W136" s="29">
        <f ca="1">IF((W129-$C129)&lt;$C$105,SUM($C134:W134),SUM(OFFSET(W134,0,-($C105-1)):W134))</f>
        <v>21343.353508511875</v>
      </c>
      <c r="X136" s="29">
        <f ca="1">IF((X129-$C129)&lt;$C$105,SUM($C134:X134),SUM(OFFSET(X134,0,-($C105-1)):X134))</f>
        <v>18971.86978534389</v>
      </c>
      <c r="Y136" s="29">
        <f ca="1">IF((Y129-$C129)&lt;$C$105,SUM($C134:Y134),SUM(OFFSET(Y134,0,-($C105-1)):Y134))</f>
        <v>16600.386062175905</v>
      </c>
      <c r="Z136" s="29">
        <f ca="1">IF((Z129-$C129)&lt;$C$105,SUM($C134:Z134),SUM(OFFSET(Z134,0,-($C105-1)):Z134))</f>
        <v>14228.902339007918</v>
      </c>
      <c r="AA136" s="29">
        <f ca="1">IF((AA129-$C129)&lt;$C$105,SUM($C134:AA134),SUM(OFFSET(AA134,0,-($C105-1)):AA134))</f>
        <v>11857.418615839932</v>
      </c>
      <c r="AB136" s="30">
        <f ca="1">IF((AB129-$C129)&lt;$C$105,SUM($C134:AB134),SUM(OFFSET(AB134,0,-($C105-1)):AB134))</f>
        <v>9485.9348926719449</v>
      </c>
    </row>
    <row r="139" spans="2:28" ht="16.5" thickBot="1" x14ac:dyDescent="0.3">
      <c r="B139" s="48" t="s">
        <v>304</v>
      </c>
    </row>
    <row r="140" spans="2:28" ht="15.75" x14ac:dyDescent="0.25">
      <c r="B140" s="133"/>
      <c r="C140" s="8">
        <v>2025</v>
      </c>
      <c r="D140" s="8">
        <v>2026</v>
      </c>
      <c r="E140" s="8">
        <v>2027</v>
      </c>
      <c r="F140" s="8">
        <v>2028</v>
      </c>
      <c r="G140" s="8">
        <v>2029</v>
      </c>
      <c r="H140" s="8">
        <v>2030</v>
      </c>
      <c r="I140" s="8">
        <v>2031</v>
      </c>
      <c r="J140" s="8">
        <v>2032</v>
      </c>
      <c r="K140" s="8">
        <v>2033</v>
      </c>
      <c r="L140" s="8">
        <v>2034</v>
      </c>
      <c r="M140" s="8">
        <v>2035</v>
      </c>
      <c r="N140" s="8">
        <v>2036</v>
      </c>
      <c r="O140" s="8">
        <v>2037</v>
      </c>
      <c r="P140" s="8">
        <v>2038</v>
      </c>
      <c r="Q140" s="8">
        <v>2039</v>
      </c>
      <c r="R140" s="8">
        <v>2040</v>
      </c>
      <c r="S140" s="8">
        <v>2041</v>
      </c>
      <c r="T140" s="8">
        <v>2042</v>
      </c>
      <c r="U140" s="8">
        <v>2043</v>
      </c>
      <c r="V140" s="8">
        <v>2044</v>
      </c>
      <c r="W140" s="8">
        <v>2045</v>
      </c>
      <c r="X140" s="8">
        <v>2046</v>
      </c>
      <c r="Y140" s="8">
        <v>2047</v>
      </c>
      <c r="Z140" s="8">
        <v>2048</v>
      </c>
      <c r="AA140" s="8">
        <v>2049</v>
      </c>
      <c r="AB140" s="9">
        <v>2050</v>
      </c>
    </row>
    <row r="141" spans="2:28" x14ac:dyDescent="0.25">
      <c r="B141" s="10" t="s">
        <v>307</v>
      </c>
      <c r="C141" s="3">
        <f>C116+C123-C134</f>
        <v>0</v>
      </c>
      <c r="D141" s="3">
        <f>D116+D123-D134</f>
        <v>6955.3190723086018</v>
      </c>
      <c r="E141" s="3">
        <f t="shared" ref="E141:AB141" si="60">E116+E123-E134</f>
        <v>14987.193106502726</v>
      </c>
      <c r="F141" s="3">
        <f t="shared" si="60"/>
        <v>14864.99630797377</v>
      </c>
      <c r="G141" s="3">
        <f t="shared" si="60"/>
        <v>14769.125847114114</v>
      </c>
      <c r="H141" s="3">
        <f t="shared" si="60"/>
        <v>15814.045732862893</v>
      </c>
      <c r="I141" s="3">
        <f t="shared" si="60"/>
        <v>15814.045732862893</v>
      </c>
      <c r="J141" s="3">
        <f t="shared" si="60"/>
        <v>15814.045732862893</v>
      </c>
      <c r="K141" s="3">
        <f t="shared" si="60"/>
        <v>15814.045732862893</v>
      </c>
      <c r="L141" s="3">
        <f t="shared" si="60"/>
        <v>15814.045732862893</v>
      </c>
      <c r="M141" s="3">
        <f t="shared" si="60"/>
        <v>15814.045732862893</v>
      </c>
      <c r="N141" s="3">
        <f t="shared" si="60"/>
        <v>15814.045732862893</v>
      </c>
      <c r="O141" s="3">
        <f t="shared" si="60"/>
        <v>15814.045732862893</v>
      </c>
      <c r="P141" s="3">
        <f t="shared" si="60"/>
        <v>15814.045732862893</v>
      </c>
      <c r="Q141" s="3">
        <f t="shared" si="60"/>
        <v>15814.045732862893</v>
      </c>
      <c r="R141" s="3">
        <f t="shared" si="60"/>
        <v>15814.045732862893</v>
      </c>
      <c r="S141" s="3">
        <f t="shared" si="60"/>
        <v>15814.045732862893</v>
      </c>
      <c r="T141" s="3">
        <f t="shared" si="60"/>
        <v>15814.045732862893</v>
      </c>
      <c r="U141" s="3">
        <f t="shared" si="60"/>
        <v>15814.045732862893</v>
      </c>
      <c r="V141" s="3">
        <f t="shared" si="60"/>
        <v>15814.045732862893</v>
      </c>
      <c r="W141" s="3">
        <f t="shared" si="60"/>
        <v>18185.529456030879</v>
      </c>
      <c r="X141" s="3">
        <f t="shared" si="60"/>
        <v>18185.529456030879</v>
      </c>
      <c r="Y141" s="3">
        <f t="shared" si="60"/>
        <v>18185.529456030879</v>
      </c>
      <c r="Z141" s="3">
        <f t="shared" si="60"/>
        <v>18185.529456030879</v>
      </c>
      <c r="AA141" s="3">
        <f t="shared" si="60"/>
        <v>18185.529456030879</v>
      </c>
      <c r="AB141" s="3">
        <f t="shared" si="60"/>
        <v>18185.529456030879</v>
      </c>
    </row>
    <row r="142" spans="2:28" ht="15.75" thickBot="1" x14ac:dyDescent="0.3">
      <c r="B142" s="12" t="s">
        <v>308</v>
      </c>
      <c r="C142" s="29">
        <f ca="1">C118+C125-C136</f>
        <v>0</v>
      </c>
      <c r="D142" s="29">
        <f t="shared" ref="D142:AB142" ca="1" si="61">D118+D125-D136</f>
        <v>6955.3190723086018</v>
      </c>
      <c r="E142" s="29">
        <f t="shared" ca="1" si="61"/>
        <v>21942.512178811328</v>
      </c>
      <c r="F142" s="29">
        <f t="shared" ca="1" si="61"/>
        <v>36807.508486785104</v>
      </c>
      <c r="G142" s="29">
        <f t="shared" ca="1" si="61"/>
        <v>51576.634333899208</v>
      </c>
      <c r="H142" s="29">
        <f t="shared" ca="1" si="61"/>
        <v>67390.680066762099</v>
      </c>
      <c r="I142" s="29">
        <f t="shared" ca="1" si="61"/>
        <v>83204.725799624997</v>
      </c>
      <c r="J142" s="29">
        <f t="shared" ca="1" si="61"/>
        <v>99018.771532487881</v>
      </c>
      <c r="K142" s="29">
        <f t="shared" ca="1" si="61"/>
        <v>114832.81726535078</v>
      </c>
      <c r="L142" s="29">
        <f t="shared" ca="1" si="61"/>
        <v>130646.86299821366</v>
      </c>
      <c r="M142" s="29">
        <f t="shared" ca="1" si="61"/>
        <v>146460.90873107658</v>
      </c>
      <c r="N142" s="29">
        <f t="shared" ca="1" si="61"/>
        <v>155319.63539163084</v>
      </c>
      <c r="O142" s="29">
        <f t="shared" ca="1" si="61"/>
        <v>156146.48801799101</v>
      </c>
      <c r="P142" s="29">
        <f t="shared" ca="1" si="61"/>
        <v>157095.53744288016</v>
      </c>
      <c r="Q142" s="29">
        <f t="shared" ca="1" si="61"/>
        <v>158140.45732862892</v>
      </c>
      <c r="R142" s="29">
        <f t="shared" ca="1" si="61"/>
        <v>158140.45732862892</v>
      </c>
      <c r="S142" s="29">
        <f t="shared" ca="1" si="61"/>
        <v>158140.45732862892</v>
      </c>
      <c r="T142" s="29">
        <f t="shared" ca="1" si="61"/>
        <v>158140.45732862892</v>
      </c>
      <c r="U142" s="29">
        <f t="shared" ca="1" si="61"/>
        <v>158140.45732862892</v>
      </c>
      <c r="V142" s="29">
        <f t="shared" ca="1" si="61"/>
        <v>158140.45732862892</v>
      </c>
      <c r="W142" s="29">
        <f t="shared" ca="1" si="61"/>
        <v>160511.94105179689</v>
      </c>
      <c r="X142" s="29">
        <f t="shared" ca="1" si="61"/>
        <v>162883.42477496489</v>
      </c>
      <c r="Y142" s="29">
        <f t="shared" ca="1" si="61"/>
        <v>165254.90849813286</v>
      </c>
      <c r="Z142" s="29">
        <f t="shared" ca="1" si="61"/>
        <v>167626.39222130086</v>
      </c>
      <c r="AA142" s="29">
        <f t="shared" ca="1" si="61"/>
        <v>169997.87594446883</v>
      </c>
      <c r="AB142" s="29">
        <f t="shared" ca="1" si="61"/>
        <v>172369.35966763683</v>
      </c>
    </row>
    <row r="143" spans="2:28" x14ac:dyDescent="0.25">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row>
    <row r="144" spans="2:28" x14ac:dyDescent="0.25">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row>
    <row r="146" spans="2:3" ht="16.5" thickBot="1" x14ac:dyDescent="0.3">
      <c r="B146" s="48" t="s">
        <v>264</v>
      </c>
    </row>
    <row r="147" spans="2:3" x14ac:dyDescent="0.25">
      <c r="B147" s="7"/>
      <c r="C147" s="9">
        <v>2030</v>
      </c>
    </row>
    <row r="148" spans="2:3" x14ac:dyDescent="0.25">
      <c r="B148" s="10" t="s">
        <v>132</v>
      </c>
      <c r="C148" s="45">
        <f>(H7*H16*C85+H7*C86*312+H9*H29*C87+H9*C88*312+H11*H41*C89+H11*C90*312)/453.6/2000</f>
        <v>16.735367722945572</v>
      </c>
    </row>
    <row r="149" spans="2:3" x14ac:dyDescent="0.25">
      <c r="B149" s="10" t="s">
        <v>133</v>
      </c>
      <c r="C149" s="38">
        <f>(H7*H16*D85+H7*D86*312+H9*H29*D87+H9*D88*312+H11*H41*D89+H11*D90*312)/453.6/2000</f>
        <v>0.17091255491925347</v>
      </c>
    </row>
    <row r="150" spans="2:3" ht="15.75" thickBot="1" x14ac:dyDescent="0.3">
      <c r="B150" s="12" t="s">
        <v>134</v>
      </c>
      <c r="C150" s="42">
        <f>(H7*H16*E85+H7*E86*312+H9*H29*E87+H9*E88*312+H11*H41*E89+H11*E90*312)/453.6/2000</f>
        <v>0.178640462239472</v>
      </c>
    </row>
  </sheetData>
  <mergeCells count="2">
    <mergeCell ref="C83:E83"/>
    <mergeCell ref="B83:B84"/>
  </mergeCells>
  <hyperlinks>
    <hyperlink ref="B64" r:id="rId1" location="What%20is%20Grid%20Gross%20Loss" xr:uid="{00000000-0004-0000-0200-000000000000}"/>
    <hyperlink ref="B62" r:id="rId2" display="https://afdc.energy.gov/files/pdfs/argonne_phev_evaluation_report.pdf" xr:uid="{00000000-0004-0000-0200-000001000000}"/>
    <hyperlink ref="B73" r:id="rId3" xr:uid="{00000000-0004-0000-0200-000002000000}"/>
    <hyperlink ref="B56" r:id="rId4" display="https://ww2.arb.ca.gov/sites/default/files/2018-11/180124hdbevefficiency.pdf" xr:uid="{A6A3A017-7B1B-4255-9A8E-6EE20D8CD781}"/>
    <hyperlink ref="B99" r:id="rId5" xr:uid="{E2C8B3D3-432C-4E39-8540-7A120453D8B4}"/>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B118"/>
  <sheetViews>
    <sheetView workbookViewId="0">
      <selection activeCell="I26" sqref="I26"/>
    </sheetView>
  </sheetViews>
  <sheetFormatPr defaultRowHeight="15" x14ac:dyDescent="0.25"/>
  <cols>
    <col min="2" max="2" width="53.7109375" customWidth="1"/>
    <col min="3" max="3" width="11.140625" customWidth="1"/>
    <col min="4" max="4" width="10.85546875" customWidth="1"/>
    <col min="5" max="5" width="10.7109375" customWidth="1"/>
    <col min="6" max="6" width="11" customWidth="1"/>
    <col min="7" max="7" width="11.5703125" bestFit="1" customWidth="1"/>
    <col min="8" max="8" width="11.42578125" customWidth="1"/>
    <col min="9" max="11" width="11.5703125" bestFit="1" customWidth="1"/>
    <col min="12" max="28" width="12.5703125" bestFit="1" customWidth="1"/>
  </cols>
  <sheetData>
    <row r="3" spans="2:28" ht="15.75" x14ac:dyDescent="0.25">
      <c r="B3" s="48" t="s">
        <v>447</v>
      </c>
    </row>
    <row r="4" spans="2:28" ht="15.75" thickBot="1" x14ac:dyDescent="0.3"/>
    <row r="5" spans="2:28" x14ac:dyDescent="0.25">
      <c r="B5" s="56"/>
      <c r="C5" s="61">
        <v>2025</v>
      </c>
      <c r="D5" s="61">
        <v>2026</v>
      </c>
      <c r="E5" s="61">
        <v>2027</v>
      </c>
      <c r="F5" s="61">
        <v>2028</v>
      </c>
      <c r="G5" s="61">
        <v>2029</v>
      </c>
      <c r="H5" s="61">
        <v>2030</v>
      </c>
      <c r="I5" s="61">
        <v>2031</v>
      </c>
      <c r="J5" s="61">
        <v>2032</v>
      </c>
      <c r="K5" s="61">
        <v>2033</v>
      </c>
      <c r="L5" s="61">
        <v>2034</v>
      </c>
      <c r="M5" s="61">
        <v>2035</v>
      </c>
      <c r="N5" s="61">
        <v>2036</v>
      </c>
      <c r="O5" s="61">
        <v>2037</v>
      </c>
      <c r="P5" s="61">
        <v>2038</v>
      </c>
      <c r="Q5" s="61">
        <v>2039</v>
      </c>
      <c r="R5" s="61">
        <v>2040</v>
      </c>
      <c r="S5" s="61">
        <v>2041</v>
      </c>
      <c r="T5" s="61">
        <v>2042</v>
      </c>
      <c r="U5" s="61">
        <v>2043</v>
      </c>
      <c r="V5" s="61">
        <v>2044</v>
      </c>
      <c r="W5" s="61">
        <v>2045</v>
      </c>
      <c r="X5" s="61">
        <v>2046</v>
      </c>
      <c r="Y5" s="61">
        <v>2047</v>
      </c>
      <c r="Z5" s="61">
        <v>2048</v>
      </c>
      <c r="AA5" s="61">
        <v>2049</v>
      </c>
      <c r="AB5" s="62">
        <v>2050</v>
      </c>
    </row>
    <row r="6" spans="2:28" x14ac:dyDescent="0.25">
      <c r="B6" s="57" t="s">
        <v>269</v>
      </c>
      <c r="C6" s="55">
        <f>'Number of ZE Units'!C23</f>
        <v>0</v>
      </c>
      <c r="D6" s="55">
        <f>'Number of ZE Units'!D23</f>
        <v>18</v>
      </c>
      <c r="E6" s="55">
        <f>'Number of ZE Units'!E23</f>
        <v>16</v>
      </c>
      <c r="F6" s="55">
        <f>'Number of ZE Units'!F23</f>
        <v>0</v>
      </c>
      <c r="G6" s="55">
        <f>'Number of ZE Units'!G23</f>
        <v>0</v>
      </c>
      <c r="H6" s="55">
        <f>'Number of ZE Units'!H23</f>
        <v>0</v>
      </c>
      <c r="I6" s="55"/>
      <c r="J6" s="55"/>
      <c r="K6" s="55"/>
      <c r="L6" s="55"/>
      <c r="M6" s="55"/>
      <c r="N6" s="55"/>
      <c r="O6" s="55"/>
      <c r="P6" s="55"/>
      <c r="Q6" s="55"/>
      <c r="R6" s="55"/>
      <c r="S6" s="55"/>
      <c r="T6" s="55"/>
      <c r="U6" s="55"/>
      <c r="V6" s="55"/>
      <c r="W6" s="55"/>
      <c r="X6" s="55"/>
      <c r="Y6" s="55"/>
      <c r="Z6" s="55"/>
      <c r="AA6" s="55"/>
      <c r="AB6" s="58"/>
    </row>
    <row r="7" spans="2:28" x14ac:dyDescent="0.25">
      <c r="B7" s="57" t="s">
        <v>270</v>
      </c>
      <c r="C7" s="55"/>
      <c r="D7" s="55">
        <f>D6</f>
        <v>18</v>
      </c>
      <c r="E7" s="55">
        <f>D7+E6</f>
        <v>34</v>
      </c>
      <c r="F7" s="55">
        <f t="shared" ref="F7:I7" si="0">E7+F6</f>
        <v>34</v>
      </c>
      <c r="G7" s="55">
        <f t="shared" si="0"/>
        <v>34</v>
      </c>
      <c r="H7" s="55">
        <f t="shared" si="0"/>
        <v>34</v>
      </c>
      <c r="I7" s="55">
        <f t="shared" si="0"/>
        <v>34</v>
      </c>
      <c r="J7" s="55">
        <f t="shared" ref="J7" si="1">I7+J6</f>
        <v>34</v>
      </c>
      <c r="K7" s="55">
        <f t="shared" ref="K7" si="2">J7+K6</f>
        <v>34</v>
      </c>
      <c r="L7" s="55">
        <f t="shared" ref="L7" si="3">K7+L6</f>
        <v>34</v>
      </c>
      <c r="M7" s="55">
        <f t="shared" ref="M7" si="4">L7+M6</f>
        <v>34</v>
      </c>
      <c r="N7" s="55">
        <f t="shared" ref="N7" si="5">M7+N6</f>
        <v>34</v>
      </c>
      <c r="O7" s="55">
        <f t="shared" ref="O7" si="6">N7+O6</f>
        <v>34</v>
      </c>
      <c r="P7" s="55">
        <f t="shared" ref="P7" si="7">O7+P6</f>
        <v>34</v>
      </c>
      <c r="Q7" s="55">
        <f t="shared" ref="Q7" si="8">P7+Q6</f>
        <v>34</v>
      </c>
      <c r="R7" s="55">
        <f t="shared" ref="R7" si="9">Q7+R6</f>
        <v>34</v>
      </c>
      <c r="S7" s="55">
        <f t="shared" ref="S7" si="10">R7+S6</f>
        <v>34</v>
      </c>
      <c r="T7" s="55">
        <f t="shared" ref="T7" si="11">S7+T6</f>
        <v>34</v>
      </c>
      <c r="U7" s="55">
        <f t="shared" ref="U7" si="12">T7+U6</f>
        <v>34</v>
      </c>
      <c r="V7" s="55">
        <f t="shared" ref="V7" si="13">U7+V6</f>
        <v>34</v>
      </c>
      <c r="W7" s="55">
        <f t="shared" ref="W7" si="14">V7+W6</f>
        <v>34</v>
      </c>
      <c r="X7" s="55">
        <f t="shared" ref="X7" si="15">W7+X6</f>
        <v>34</v>
      </c>
      <c r="Y7" s="55">
        <f t="shared" ref="Y7" si="16">X7+Y6</f>
        <v>34</v>
      </c>
      <c r="Z7" s="55">
        <f t="shared" ref="Z7" si="17">Y7+Z6</f>
        <v>34</v>
      </c>
      <c r="AA7" s="55">
        <f t="shared" ref="AA7" si="18">Z7+AA6</f>
        <v>34</v>
      </c>
      <c r="AB7" s="58">
        <f t="shared" ref="AB7" si="19">AA7+AB6</f>
        <v>34</v>
      </c>
    </row>
    <row r="8" spans="2:28" x14ac:dyDescent="0.25">
      <c r="B8" s="57" t="s">
        <v>271</v>
      </c>
      <c r="C8" s="55">
        <f>'Number of ZE Units'!C25</f>
        <v>0</v>
      </c>
      <c r="D8" s="55">
        <f>'Number of ZE Units'!D25</f>
        <v>14</v>
      </c>
      <c r="E8" s="55">
        <f>'Number of ZE Units'!E25</f>
        <v>12</v>
      </c>
      <c r="F8" s="55">
        <f>'Number of ZE Units'!F25</f>
        <v>0</v>
      </c>
      <c r="G8" s="55">
        <f>'Number of ZE Units'!G25</f>
        <v>0</v>
      </c>
      <c r="H8" s="55">
        <f>'Number of ZE Units'!H25</f>
        <v>0</v>
      </c>
      <c r="I8" s="55"/>
      <c r="J8" s="55"/>
      <c r="K8" s="55"/>
      <c r="L8" s="55"/>
      <c r="M8" s="55"/>
      <c r="N8" s="55"/>
      <c r="O8" s="55"/>
      <c r="P8" s="55"/>
      <c r="Q8" s="55"/>
      <c r="R8" s="55"/>
      <c r="S8" s="55"/>
      <c r="T8" s="55"/>
      <c r="U8" s="55"/>
      <c r="V8" s="55"/>
      <c r="W8" s="55"/>
      <c r="X8" s="55"/>
      <c r="Y8" s="55"/>
      <c r="Z8" s="55"/>
      <c r="AA8" s="55"/>
      <c r="AB8" s="58"/>
    </row>
    <row r="9" spans="2:28" ht="15.75" thickBot="1" x14ac:dyDescent="0.3">
      <c r="B9" s="63" t="s">
        <v>271</v>
      </c>
      <c r="C9" s="59"/>
      <c r="D9" s="59">
        <f>D8</f>
        <v>14</v>
      </c>
      <c r="E9" s="59">
        <f>D9+E8</f>
        <v>26</v>
      </c>
      <c r="F9" s="59">
        <f t="shared" ref="F9:AB9" si="20">E9+F8</f>
        <v>26</v>
      </c>
      <c r="G9" s="59">
        <f t="shared" si="20"/>
        <v>26</v>
      </c>
      <c r="H9" s="59">
        <f t="shared" si="20"/>
        <v>26</v>
      </c>
      <c r="I9" s="59">
        <f t="shared" si="20"/>
        <v>26</v>
      </c>
      <c r="J9" s="59">
        <f t="shared" si="20"/>
        <v>26</v>
      </c>
      <c r="K9" s="59">
        <f t="shared" si="20"/>
        <v>26</v>
      </c>
      <c r="L9" s="59">
        <f t="shared" si="20"/>
        <v>26</v>
      </c>
      <c r="M9" s="59">
        <f t="shared" si="20"/>
        <v>26</v>
      </c>
      <c r="N9" s="59">
        <f t="shared" si="20"/>
        <v>26</v>
      </c>
      <c r="O9" s="59">
        <f t="shared" si="20"/>
        <v>26</v>
      </c>
      <c r="P9" s="59">
        <f t="shared" si="20"/>
        <v>26</v>
      </c>
      <c r="Q9" s="59">
        <f t="shared" si="20"/>
        <v>26</v>
      </c>
      <c r="R9" s="59">
        <f t="shared" si="20"/>
        <v>26</v>
      </c>
      <c r="S9" s="59">
        <f t="shared" si="20"/>
        <v>26</v>
      </c>
      <c r="T9" s="59">
        <f t="shared" si="20"/>
        <v>26</v>
      </c>
      <c r="U9" s="59">
        <f t="shared" si="20"/>
        <v>26</v>
      </c>
      <c r="V9" s="59">
        <f t="shared" si="20"/>
        <v>26</v>
      </c>
      <c r="W9" s="59">
        <f t="shared" si="20"/>
        <v>26</v>
      </c>
      <c r="X9" s="59">
        <f t="shared" si="20"/>
        <v>26</v>
      </c>
      <c r="Y9" s="59">
        <f t="shared" si="20"/>
        <v>26</v>
      </c>
      <c r="Z9" s="59">
        <f t="shared" si="20"/>
        <v>26</v>
      </c>
      <c r="AA9" s="59">
        <f t="shared" si="20"/>
        <v>26</v>
      </c>
      <c r="AB9" s="60">
        <f t="shared" si="20"/>
        <v>26</v>
      </c>
    </row>
    <row r="10" spans="2:28" x14ac:dyDescent="0.25">
      <c r="B10" s="54"/>
    </row>
    <row r="12" spans="2:28" ht="16.5" thickBot="1" x14ac:dyDescent="0.3">
      <c r="B12" s="48" t="s">
        <v>140</v>
      </c>
    </row>
    <row r="13" spans="2:28" ht="30" x14ac:dyDescent="0.25">
      <c r="B13" s="70"/>
      <c r="C13" s="71" t="s">
        <v>131</v>
      </c>
      <c r="D13" s="72" t="s">
        <v>130</v>
      </c>
    </row>
    <row r="14" spans="2:28" x14ac:dyDescent="0.25">
      <c r="B14" s="10" t="s">
        <v>40</v>
      </c>
      <c r="C14" s="37">
        <f>(226+215)/2</f>
        <v>220.5</v>
      </c>
      <c r="D14" s="19">
        <f>(340+348)/2</f>
        <v>344</v>
      </c>
      <c r="E14" s="21"/>
      <c r="F14" s="21"/>
      <c r="G14" s="21"/>
      <c r="H14" s="36"/>
    </row>
    <row r="15" spans="2:28" x14ac:dyDescent="0.25">
      <c r="B15" s="10" t="s">
        <v>41</v>
      </c>
      <c r="C15" s="3">
        <f>(1676+2139)/2</f>
        <v>1907.5</v>
      </c>
      <c r="D15" s="28">
        <f>(2152+2025)/2</f>
        <v>2088.5</v>
      </c>
      <c r="E15" s="21"/>
      <c r="F15" s="21"/>
      <c r="G15" s="21"/>
      <c r="H15" s="21"/>
    </row>
    <row r="16" spans="2:28" x14ac:dyDescent="0.25">
      <c r="B16" s="10" t="s">
        <v>42</v>
      </c>
      <c r="C16" s="1">
        <v>0.39</v>
      </c>
      <c r="D16" s="11">
        <v>0.59</v>
      </c>
      <c r="L16" s="5"/>
      <c r="M16" s="5"/>
      <c r="N16" s="5"/>
    </row>
    <row r="17" spans="2:4" x14ac:dyDescent="0.25">
      <c r="B17" s="10" t="s">
        <v>43</v>
      </c>
      <c r="C17" s="39">
        <f>'CHE EF '!C22</f>
        <v>717.84325370217823</v>
      </c>
      <c r="D17" s="38">
        <f>'CHE EF '!C22</f>
        <v>717.84325370217823</v>
      </c>
    </row>
    <row r="18" spans="2:4" x14ac:dyDescent="0.25">
      <c r="B18" s="10" t="s">
        <v>44</v>
      </c>
      <c r="C18" s="23">
        <f>'CHE EF '!C23</f>
        <v>2.9529301327611637E-2</v>
      </c>
      <c r="D18" s="24">
        <f>'CHE EF '!C23</f>
        <v>2.9529301327611637E-2</v>
      </c>
    </row>
    <row r="19" spans="2:4" ht="15.75" thickBot="1" x14ac:dyDescent="0.3">
      <c r="B19" s="12" t="s">
        <v>45</v>
      </c>
      <c r="C19" s="25">
        <f>'CHE EF '!C24</f>
        <v>4.2184716182302344E-2</v>
      </c>
      <c r="D19" s="26">
        <f>'CHE EF '!C24</f>
        <v>4.2184716182302344E-2</v>
      </c>
    </row>
    <row r="20" spans="2:4" x14ac:dyDescent="0.25">
      <c r="B20" s="16" t="s">
        <v>97</v>
      </c>
    </row>
    <row r="21" spans="2:4" x14ac:dyDescent="0.25">
      <c r="B21" s="16" t="s">
        <v>187</v>
      </c>
    </row>
    <row r="22" spans="2:4" x14ac:dyDescent="0.25">
      <c r="B22" s="16" t="s">
        <v>188</v>
      </c>
    </row>
    <row r="23" spans="2:4" x14ac:dyDescent="0.25">
      <c r="B23" s="16" t="s">
        <v>190</v>
      </c>
    </row>
    <row r="24" spans="2:4" x14ac:dyDescent="0.25">
      <c r="B24" s="16" t="s">
        <v>189</v>
      </c>
    </row>
    <row r="25" spans="2:4" x14ac:dyDescent="0.25">
      <c r="B25" s="16" t="s">
        <v>203</v>
      </c>
    </row>
    <row r="26" spans="2:4" ht="15.75" thickBot="1" x14ac:dyDescent="0.3">
      <c r="B26" s="16"/>
    </row>
    <row r="27" spans="2:4" x14ac:dyDescent="0.25">
      <c r="B27" s="7" t="s">
        <v>150</v>
      </c>
      <c r="C27" s="34">
        <v>129488</v>
      </c>
    </row>
    <row r="28" spans="2:4" x14ac:dyDescent="0.25">
      <c r="B28" s="10" t="s">
        <v>251</v>
      </c>
      <c r="C28" s="38">
        <f>'CHE EF '!C15</f>
        <v>14.223160762942783</v>
      </c>
    </row>
    <row r="29" spans="2:4" x14ac:dyDescent="0.25">
      <c r="B29" s="10" t="s">
        <v>100</v>
      </c>
      <c r="C29" s="28">
        <v>2544</v>
      </c>
    </row>
    <row r="30" spans="2:4" ht="15.75" thickBot="1" x14ac:dyDescent="0.3">
      <c r="B30" s="12" t="s">
        <v>204</v>
      </c>
      <c r="C30" s="14">
        <v>0.746</v>
      </c>
    </row>
    <row r="31" spans="2:4" x14ac:dyDescent="0.25">
      <c r="B31" s="16" t="s">
        <v>211</v>
      </c>
    </row>
    <row r="32" spans="2:4" x14ac:dyDescent="0.25">
      <c r="B32" s="16" t="s">
        <v>250</v>
      </c>
    </row>
    <row r="33" spans="2:5" x14ac:dyDescent="0.25">
      <c r="B33" s="16" t="s">
        <v>252</v>
      </c>
    </row>
    <row r="34" spans="2:5" ht="15.75" thickBot="1" x14ac:dyDescent="0.3"/>
    <row r="35" spans="2:5" x14ac:dyDescent="0.25">
      <c r="B35" s="17" t="s">
        <v>184</v>
      </c>
      <c r="C35" s="52">
        <v>0.85</v>
      </c>
    </row>
    <row r="36" spans="2:5" ht="15.75" thickBot="1" x14ac:dyDescent="0.3">
      <c r="B36" s="46" t="s">
        <v>158</v>
      </c>
      <c r="C36" s="69">
        <v>5.0999999999999997E-2</v>
      </c>
    </row>
    <row r="37" spans="2:5" x14ac:dyDescent="0.25">
      <c r="B37" s="16" t="s">
        <v>185</v>
      </c>
      <c r="C37" s="53"/>
    </row>
    <row r="38" spans="2:5" x14ac:dyDescent="0.25">
      <c r="B38" t="s">
        <v>147</v>
      </c>
      <c r="C38" s="53"/>
    </row>
    <row r="39" spans="2:5" x14ac:dyDescent="0.25">
      <c r="B39" s="81" t="s">
        <v>181</v>
      </c>
      <c r="C39" s="53"/>
    </row>
    <row r="40" spans="2:5" x14ac:dyDescent="0.25">
      <c r="B40" s="16" t="s">
        <v>186</v>
      </c>
      <c r="C40" s="53"/>
    </row>
    <row r="41" spans="2:5" x14ac:dyDescent="0.25">
      <c r="B41" s="81" t="s">
        <v>180</v>
      </c>
      <c r="C41" s="53"/>
    </row>
    <row r="42" spans="2:5" x14ac:dyDescent="0.25">
      <c r="B42" s="81"/>
      <c r="C42" s="53"/>
    </row>
    <row r="43" spans="2:5" ht="15.75" thickBot="1" x14ac:dyDescent="0.3">
      <c r="B43" t="s">
        <v>213</v>
      </c>
    </row>
    <row r="44" spans="2:5" x14ac:dyDescent="0.25">
      <c r="B44" s="7" t="s">
        <v>216</v>
      </c>
      <c r="C44" s="32" t="s">
        <v>0</v>
      </c>
      <c r="D44" s="32" t="s">
        <v>2</v>
      </c>
      <c r="E44" s="33" t="s">
        <v>1</v>
      </c>
    </row>
    <row r="45" spans="2:5" x14ac:dyDescent="0.25">
      <c r="B45" s="10" t="s">
        <v>212</v>
      </c>
      <c r="C45" s="1">
        <v>497.4</v>
      </c>
      <c r="D45" s="1">
        <v>0.03</v>
      </c>
      <c r="E45" s="11">
        <v>4.0000000000000001E-3</v>
      </c>
    </row>
    <row r="46" spans="2:5" x14ac:dyDescent="0.25">
      <c r="B46" s="10" t="s">
        <v>215</v>
      </c>
      <c r="C46" s="22">
        <f>(332.7+342.6)/2</f>
        <v>337.65</v>
      </c>
      <c r="D46" s="1">
        <v>0.03</v>
      </c>
      <c r="E46" s="11">
        <v>4.0000000000000001E-3</v>
      </c>
    </row>
    <row r="47" spans="2:5" ht="15.75" thickBot="1" x14ac:dyDescent="0.3">
      <c r="B47" s="12" t="s">
        <v>214</v>
      </c>
      <c r="C47" s="13">
        <v>0</v>
      </c>
      <c r="D47" s="13">
        <v>0</v>
      </c>
      <c r="E47" s="14">
        <v>0</v>
      </c>
    </row>
    <row r="48" spans="2:5" x14ac:dyDescent="0.25">
      <c r="B48" t="s">
        <v>205</v>
      </c>
    </row>
    <row r="49" spans="2:5" x14ac:dyDescent="0.25">
      <c r="B49" t="s">
        <v>206</v>
      </c>
    </row>
    <row r="50" spans="2:5" x14ac:dyDescent="0.25">
      <c r="B50" s="81" t="s">
        <v>182</v>
      </c>
    </row>
    <row r="51" spans="2:5" x14ac:dyDescent="0.25">
      <c r="B51" s="16" t="s">
        <v>430</v>
      </c>
    </row>
    <row r="52" spans="2:5" x14ac:dyDescent="0.25">
      <c r="B52" s="16" t="s">
        <v>253</v>
      </c>
    </row>
    <row r="53" spans="2:5" ht="15.75" thickBot="1" x14ac:dyDescent="0.3"/>
    <row r="54" spans="2:5" x14ac:dyDescent="0.25">
      <c r="B54" s="83" t="s">
        <v>217</v>
      </c>
      <c r="C54" s="32" t="s">
        <v>0</v>
      </c>
      <c r="D54" s="32" t="s">
        <v>2</v>
      </c>
      <c r="E54" s="33" t="s">
        <v>1</v>
      </c>
    </row>
    <row r="55" spans="2:5" ht="15.75" thickBot="1" x14ac:dyDescent="0.3">
      <c r="B55" s="12" t="s">
        <v>218</v>
      </c>
      <c r="C55" s="13">
        <v>1</v>
      </c>
      <c r="D55" s="13">
        <v>28</v>
      </c>
      <c r="E55" s="14">
        <v>265</v>
      </c>
    </row>
    <row r="56" spans="2:5" x14ac:dyDescent="0.25">
      <c r="B56" s="16" t="s">
        <v>254</v>
      </c>
    </row>
    <row r="57" spans="2:5" x14ac:dyDescent="0.25">
      <c r="B57" s="16" t="s">
        <v>219</v>
      </c>
    </row>
    <row r="58" spans="2:5" x14ac:dyDescent="0.25">
      <c r="B58" s="81"/>
    </row>
    <row r="59" spans="2:5" ht="15.75" thickBot="1" x14ac:dyDescent="0.3"/>
    <row r="60" spans="2:5" x14ac:dyDescent="0.25">
      <c r="B60" s="182" t="s">
        <v>135</v>
      </c>
      <c r="C60" s="175">
        <v>2030</v>
      </c>
      <c r="D60" s="175"/>
      <c r="E60" s="191"/>
    </row>
    <row r="61" spans="2:5" x14ac:dyDescent="0.25">
      <c r="B61" s="183"/>
      <c r="C61" s="4" t="s">
        <v>102</v>
      </c>
      <c r="D61" s="4" t="s">
        <v>103</v>
      </c>
      <c r="E61" s="41" t="s">
        <v>104</v>
      </c>
    </row>
    <row r="62" spans="2:5" x14ac:dyDescent="0.25">
      <c r="B62" s="10" t="s">
        <v>431</v>
      </c>
      <c r="C62" s="43">
        <f>'CHE EF '!N15</f>
        <v>0.22053913196611791</v>
      </c>
      <c r="D62" s="43">
        <f>'CHE EF '!Q15</f>
        <v>9.7098809340430744E-3</v>
      </c>
      <c r="E62" s="44">
        <f>'CHE EF '!R15</f>
        <v>8.9330904593196304E-3</v>
      </c>
    </row>
    <row r="63" spans="2:5" ht="15.75" thickBot="1" x14ac:dyDescent="0.3">
      <c r="B63" s="12" t="s">
        <v>432</v>
      </c>
      <c r="C63" s="35">
        <f>'CHE EF '!N29</f>
        <v>0.63768542461521271</v>
      </c>
      <c r="D63" s="35">
        <f>'CHE EF '!Q29</f>
        <v>3.422850240843827E-2</v>
      </c>
      <c r="E63" s="80">
        <f>'CHE EF '!R29</f>
        <v>3.1490222215763204E-2</v>
      </c>
    </row>
    <row r="64" spans="2:5" x14ac:dyDescent="0.25">
      <c r="B64" s="16" t="s">
        <v>433</v>
      </c>
    </row>
    <row r="65" spans="2:28" x14ac:dyDescent="0.25">
      <c r="B65" s="16"/>
    </row>
    <row r="66" spans="2:28" ht="15.75" thickBot="1" x14ac:dyDescent="0.3">
      <c r="B66" s="16"/>
    </row>
    <row r="67" spans="2:28" x14ac:dyDescent="0.25">
      <c r="B67" s="83" t="s">
        <v>434</v>
      </c>
      <c r="C67" s="9">
        <v>18</v>
      </c>
    </row>
    <row r="68" spans="2:28" ht="15.75" thickBot="1" x14ac:dyDescent="0.3">
      <c r="B68" s="145" t="s">
        <v>394</v>
      </c>
      <c r="C68" s="14"/>
    </row>
    <row r="69" spans="2:28" x14ac:dyDescent="0.25">
      <c r="B69" s="16" t="s">
        <v>435</v>
      </c>
    </row>
    <row r="70" spans="2:28" x14ac:dyDescent="0.25">
      <c r="B70" s="81" t="s">
        <v>397</v>
      </c>
    </row>
    <row r="71" spans="2:28" x14ac:dyDescent="0.25">
      <c r="B71" s="81"/>
    </row>
    <row r="72" spans="2:28" ht="15.75" thickBot="1" x14ac:dyDescent="0.3">
      <c r="B72" s="16"/>
    </row>
    <row r="73" spans="2:28" ht="15.75" thickBot="1" x14ac:dyDescent="0.3">
      <c r="B73" s="49" t="s">
        <v>436</v>
      </c>
      <c r="C73" s="50">
        <v>10</v>
      </c>
    </row>
    <row r="74" spans="2:28" x14ac:dyDescent="0.25">
      <c r="B74" s="16" t="s">
        <v>437</v>
      </c>
    </row>
    <row r="76" spans="2:28" x14ac:dyDescent="0.25">
      <c r="B76" s="16"/>
    </row>
    <row r="79" spans="2:28" ht="16.5" thickBot="1" x14ac:dyDescent="0.3">
      <c r="B79" s="48" t="s">
        <v>285</v>
      </c>
    </row>
    <row r="80" spans="2:28" x14ac:dyDescent="0.25">
      <c r="B80" s="7"/>
      <c r="C80" s="8">
        <v>2025</v>
      </c>
      <c r="D80" s="8">
        <v>2026</v>
      </c>
      <c r="E80" s="8">
        <v>2027</v>
      </c>
      <c r="F80" s="8">
        <v>2028</v>
      </c>
      <c r="G80" s="8">
        <v>2029</v>
      </c>
      <c r="H80" s="8">
        <v>2030</v>
      </c>
      <c r="I80" s="8">
        <v>2031</v>
      </c>
      <c r="J80" s="8">
        <v>2032</v>
      </c>
      <c r="K80" s="8">
        <v>2033</v>
      </c>
      <c r="L80" s="8">
        <v>2034</v>
      </c>
      <c r="M80" s="8">
        <v>2035</v>
      </c>
      <c r="N80" s="8">
        <v>2036</v>
      </c>
      <c r="O80" s="8">
        <v>2037</v>
      </c>
      <c r="P80" s="8">
        <v>2038</v>
      </c>
      <c r="Q80" s="8">
        <v>2039</v>
      </c>
      <c r="R80" s="8">
        <v>2040</v>
      </c>
      <c r="S80" s="8">
        <v>2041</v>
      </c>
      <c r="T80" s="8">
        <v>2042</v>
      </c>
      <c r="U80" s="8">
        <v>2043</v>
      </c>
      <c r="V80" s="8">
        <v>2044</v>
      </c>
      <c r="W80" s="8">
        <v>2045</v>
      </c>
      <c r="X80" s="8">
        <v>2046</v>
      </c>
      <c r="Y80" s="8">
        <v>2047</v>
      </c>
      <c r="Z80" s="8">
        <v>2048</v>
      </c>
      <c r="AA80" s="8">
        <v>2049</v>
      </c>
      <c r="AB80" s="9">
        <v>2050</v>
      </c>
    </row>
    <row r="81" spans="2:28" x14ac:dyDescent="0.25">
      <c r="B81" s="10" t="s">
        <v>3</v>
      </c>
      <c r="C81" s="3">
        <f t="shared" ref="C81:AB81" si="21">(C7*$C$14*$C$15*$C$16*$C$17+C9*$D$14*$D$15*$D$16*$D$17)/1000000</f>
        <v>0</v>
      </c>
      <c r="D81" s="3">
        <f t="shared" si="21"/>
        <v>6379.4627771525411</v>
      </c>
      <c r="E81" s="3">
        <f t="shared" si="21"/>
        <v>11914.860443353886</v>
      </c>
      <c r="F81" s="3">
        <f t="shared" si="21"/>
        <v>11914.860443353886</v>
      </c>
      <c r="G81" s="3">
        <f t="shared" si="21"/>
        <v>11914.860443353886</v>
      </c>
      <c r="H81" s="3">
        <f t="shared" si="21"/>
        <v>11914.860443353886</v>
      </c>
      <c r="I81" s="3">
        <f t="shared" si="21"/>
        <v>11914.860443353886</v>
      </c>
      <c r="J81" s="3">
        <f t="shared" si="21"/>
        <v>11914.860443353886</v>
      </c>
      <c r="K81" s="3">
        <f t="shared" si="21"/>
        <v>11914.860443353886</v>
      </c>
      <c r="L81" s="3">
        <f t="shared" si="21"/>
        <v>11914.860443353886</v>
      </c>
      <c r="M81" s="3">
        <f t="shared" si="21"/>
        <v>11914.860443353886</v>
      </c>
      <c r="N81" s="3">
        <f t="shared" si="21"/>
        <v>11914.860443353886</v>
      </c>
      <c r="O81" s="3">
        <f t="shared" si="21"/>
        <v>11914.860443353886</v>
      </c>
      <c r="P81" s="3">
        <f t="shared" si="21"/>
        <v>11914.860443353886</v>
      </c>
      <c r="Q81" s="3">
        <f t="shared" si="21"/>
        <v>11914.860443353886</v>
      </c>
      <c r="R81" s="3">
        <f t="shared" si="21"/>
        <v>11914.860443353886</v>
      </c>
      <c r="S81" s="3">
        <f t="shared" si="21"/>
        <v>11914.860443353886</v>
      </c>
      <c r="T81" s="3">
        <f t="shared" si="21"/>
        <v>11914.860443353886</v>
      </c>
      <c r="U81" s="3">
        <f t="shared" si="21"/>
        <v>11914.860443353886</v>
      </c>
      <c r="V81" s="3">
        <f t="shared" si="21"/>
        <v>11914.860443353886</v>
      </c>
      <c r="W81" s="3">
        <f t="shared" si="21"/>
        <v>11914.860443353886</v>
      </c>
      <c r="X81" s="3">
        <f t="shared" si="21"/>
        <v>11914.860443353886</v>
      </c>
      <c r="Y81" s="3">
        <f t="shared" si="21"/>
        <v>11914.860443353886</v>
      </c>
      <c r="Z81" s="3">
        <f t="shared" si="21"/>
        <v>11914.860443353886</v>
      </c>
      <c r="AA81" s="3">
        <f t="shared" si="21"/>
        <v>11914.860443353886</v>
      </c>
      <c r="AB81" s="3">
        <f t="shared" si="21"/>
        <v>11914.860443353886</v>
      </c>
    </row>
    <row r="82" spans="2:28" x14ac:dyDescent="0.25">
      <c r="B82" s="10" t="s">
        <v>5</v>
      </c>
      <c r="C82" s="3">
        <f t="shared" ref="C82:AB82" si="22">(C7*$C$14*$C$15*$C$16*$C$18+C9*$D$14*$D$15*$D$16*$D$18)/1000000</f>
        <v>0</v>
      </c>
      <c r="D82" s="20">
        <f t="shared" si="22"/>
        <v>0.26242648054888018</v>
      </c>
      <c r="E82" s="20">
        <f t="shared" si="22"/>
        <v>0.49013137964824993</v>
      </c>
      <c r="F82" s="20">
        <f t="shared" si="22"/>
        <v>0.49013137964824993</v>
      </c>
      <c r="G82" s="20">
        <f t="shared" si="22"/>
        <v>0.49013137964824993</v>
      </c>
      <c r="H82" s="20">
        <f t="shared" si="22"/>
        <v>0.49013137964824993</v>
      </c>
      <c r="I82" s="20">
        <f t="shared" si="22"/>
        <v>0.49013137964824993</v>
      </c>
      <c r="J82" s="20">
        <f t="shared" si="22"/>
        <v>0.49013137964824993</v>
      </c>
      <c r="K82" s="20">
        <f t="shared" si="22"/>
        <v>0.49013137964824993</v>
      </c>
      <c r="L82" s="20">
        <f t="shared" si="22"/>
        <v>0.49013137964824993</v>
      </c>
      <c r="M82" s="20">
        <f t="shared" si="22"/>
        <v>0.49013137964824993</v>
      </c>
      <c r="N82" s="20">
        <f t="shared" si="22"/>
        <v>0.49013137964824993</v>
      </c>
      <c r="O82" s="20">
        <f t="shared" si="22"/>
        <v>0.49013137964824993</v>
      </c>
      <c r="P82" s="20">
        <f t="shared" si="22"/>
        <v>0.49013137964824993</v>
      </c>
      <c r="Q82" s="20">
        <f t="shared" si="22"/>
        <v>0.49013137964824993</v>
      </c>
      <c r="R82" s="20">
        <f t="shared" si="22"/>
        <v>0.49013137964824993</v>
      </c>
      <c r="S82" s="20">
        <f t="shared" si="22"/>
        <v>0.49013137964824993</v>
      </c>
      <c r="T82" s="20">
        <f t="shared" si="22"/>
        <v>0.49013137964824993</v>
      </c>
      <c r="U82" s="20">
        <f t="shared" si="22"/>
        <v>0.49013137964824993</v>
      </c>
      <c r="V82" s="20">
        <f t="shared" si="22"/>
        <v>0.49013137964824993</v>
      </c>
      <c r="W82" s="20">
        <f t="shared" si="22"/>
        <v>0.49013137964824993</v>
      </c>
      <c r="X82" s="20">
        <f t="shared" si="22"/>
        <v>0.49013137964824993</v>
      </c>
      <c r="Y82" s="20">
        <f t="shared" si="22"/>
        <v>0.49013137964824993</v>
      </c>
      <c r="Z82" s="20">
        <f t="shared" si="22"/>
        <v>0.49013137964824993</v>
      </c>
      <c r="AA82" s="20">
        <f t="shared" si="22"/>
        <v>0.49013137964824993</v>
      </c>
      <c r="AB82" s="20">
        <f t="shared" si="22"/>
        <v>0.49013137964824993</v>
      </c>
    </row>
    <row r="83" spans="2:28" x14ac:dyDescent="0.25">
      <c r="B83" s="10" t="s">
        <v>4</v>
      </c>
      <c r="C83" s="3">
        <f t="shared" ref="C83:AB83" si="23">(C7*$C$14*$C$15*$C$16*$C$19+C9*D14*D15*D16*D19)/1000000</f>
        <v>0</v>
      </c>
      <c r="D83" s="20">
        <f t="shared" si="23"/>
        <v>0.1245562097291136</v>
      </c>
      <c r="E83" s="20">
        <f t="shared" si="23"/>
        <v>0.23527284059943682</v>
      </c>
      <c r="F83" s="20">
        <f t="shared" si="23"/>
        <v>0.23527284059943682</v>
      </c>
      <c r="G83" s="20">
        <f t="shared" si="23"/>
        <v>0.23527284059943682</v>
      </c>
      <c r="H83" s="20">
        <f t="shared" si="23"/>
        <v>0.23527284059943682</v>
      </c>
      <c r="I83" s="20">
        <f t="shared" si="23"/>
        <v>0.23527284059943682</v>
      </c>
      <c r="J83" s="20">
        <f t="shared" si="23"/>
        <v>0.23527284059943682</v>
      </c>
      <c r="K83" s="20">
        <f t="shared" si="23"/>
        <v>0.23527284059943682</v>
      </c>
      <c r="L83" s="20">
        <f t="shared" si="23"/>
        <v>0.23527284059943682</v>
      </c>
      <c r="M83" s="20">
        <f t="shared" si="23"/>
        <v>0.23527284059943682</v>
      </c>
      <c r="N83" s="20">
        <f t="shared" si="23"/>
        <v>0.23527284059943682</v>
      </c>
      <c r="O83" s="20">
        <f t="shared" si="23"/>
        <v>0.23527284059943682</v>
      </c>
      <c r="P83" s="20">
        <f t="shared" si="23"/>
        <v>0.23527284059943682</v>
      </c>
      <c r="Q83" s="20">
        <f t="shared" si="23"/>
        <v>0.23527284059943682</v>
      </c>
      <c r="R83" s="20">
        <f t="shared" si="23"/>
        <v>0.23527284059943682</v>
      </c>
      <c r="S83" s="20">
        <f t="shared" si="23"/>
        <v>0.23527284059943682</v>
      </c>
      <c r="T83" s="20">
        <f t="shared" si="23"/>
        <v>0.23527284059943682</v>
      </c>
      <c r="U83" s="20">
        <f t="shared" si="23"/>
        <v>0.23527284059943682</v>
      </c>
      <c r="V83" s="20">
        <f t="shared" si="23"/>
        <v>0.23527284059943682</v>
      </c>
      <c r="W83" s="20">
        <f t="shared" si="23"/>
        <v>0.23527284059943682</v>
      </c>
      <c r="X83" s="20">
        <f t="shared" si="23"/>
        <v>0.23527284059943682</v>
      </c>
      <c r="Y83" s="20">
        <f t="shared" si="23"/>
        <v>0.23527284059943682</v>
      </c>
      <c r="Z83" s="20">
        <f t="shared" si="23"/>
        <v>0.23527284059943682</v>
      </c>
      <c r="AA83" s="20">
        <f t="shared" si="23"/>
        <v>0.23527284059943682</v>
      </c>
      <c r="AB83" s="20">
        <f t="shared" si="23"/>
        <v>0.23527284059943682</v>
      </c>
    </row>
    <row r="84" spans="2:28" x14ac:dyDescent="0.25">
      <c r="B84" s="10" t="s">
        <v>6</v>
      </c>
      <c r="C84" s="3">
        <f>C81+C82*$D$55+C83*$E$55</f>
        <v>0</v>
      </c>
      <c r="D84" s="3">
        <f t="shared" ref="D84:AB84" si="24">D81+D82*$D$55+D83*$E$55</f>
        <v>6419.8181141861251</v>
      </c>
      <c r="E84" s="3">
        <f t="shared" si="24"/>
        <v>11990.931424742888</v>
      </c>
      <c r="F84" s="3">
        <f t="shared" si="24"/>
        <v>11990.931424742888</v>
      </c>
      <c r="G84" s="3">
        <f t="shared" si="24"/>
        <v>11990.931424742888</v>
      </c>
      <c r="H84" s="3">
        <f t="shared" si="24"/>
        <v>11990.931424742888</v>
      </c>
      <c r="I84" s="3">
        <f t="shared" si="24"/>
        <v>11990.931424742888</v>
      </c>
      <c r="J84" s="3">
        <f t="shared" si="24"/>
        <v>11990.931424742888</v>
      </c>
      <c r="K84" s="3">
        <f t="shared" si="24"/>
        <v>11990.931424742888</v>
      </c>
      <c r="L84" s="3">
        <f t="shared" si="24"/>
        <v>11990.931424742888</v>
      </c>
      <c r="M84" s="3">
        <f t="shared" si="24"/>
        <v>11990.931424742888</v>
      </c>
      <c r="N84" s="3">
        <f t="shared" si="24"/>
        <v>11990.931424742888</v>
      </c>
      <c r="O84" s="3">
        <f t="shared" si="24"/>
        <v>11990.931424742888</v>
      </c>
      <c r="P84" s="3">
        <f t="shared" si="24"/>
        <v>11990.931424742888</v>
      </c>
      <c r="Q84" s="3">
        <f t="shared" si="24"/>
        <v>11990.931424742888</v>
      </c>
      <c r="R84" s="3">
        <f t="shared" si="24"/>
        <v>11990.931424742888</v>
      </c>
      <c r="S84" s="3">
        <f t="shared" si="24"/>
        <v>11990.931424742888</v>
      </c>
      <c r="T84" s="3">
        <f t="shared" si="24"/>
        <v>11990.931424742888</v>
      </c>
      <c r="U84" s="3">
        <f t="shared" si="24"/>
        <v>11990.931424742888</v>
      </c>
      <c r="V84" s="3">
        <f t="shared" si="24"/>
        <v>11990.931424742888</v>
      </c>
      <c r="W84" s="3">
        <f t="shared" si="24"/>
        <v>11990.931424742888</v>
      </c>
      <c r="X84" s="3">
        <f t="shared" si="24"/>
        <v>11990.931424742888</v>
      </c>
      <c r="Y84" s="3">
        <f t="shared" si="24"/>
        <v>11990.931424742888</v>
      </c>
      <c r="Z84" s="3">
        <f t="shared" si="24"/>
        <v>11990.931424742888</v>
      </c>
      <c r="AA84" s="3">
        <f t="shared" si="24"/>
        <v>11990.931424742888</v>
      </c>
      <c r="AB84" s="28">
        <f t="shared" si="24"/>
        <v>11990.931424742888</v>
      </c>
    </row>
    <row r="85" spans="2:28" x14ac:dyDescent="0.25">
      <c r="B85" s="10" t="s">
        <v>7</v>
      </c>
      <c r="C85" s="3">
        <f>C84</f>
        <v>0</v>
      </c>
      <c r="D85" s="3">
        <f>C85+D84</f>
        <v>6419.8181141861251</v>
      </c>
      <c r="E85" s="3">
        <f t="shared" ref="E85:AB85" si="25">D85+E84</f>
        <v>18410.749538929012</v>
      </c>
      <c r="F85" s="3">
        <f t="shared" si="25"/>
        <v>30401.680963671901</v>
      </c>
      <c r="G85" s="3">
        <f t="shared" si="25"/>
        <v>42392.612388414789</v>
      </c>
      <c r="H85" s="3">
        <f t="shared" si="25"/>
        <v>54383.543813157681</v>
      </c>
      <c r="I85" s="3">
        <f t="shared" si="25"/>
        <v>66374.475237900566</v>
      </c>
      <c r="J85" s="3">
        <f t="shared" si="25"/>
        <v>78365.406662643451</v>
      </c>
      <c r="K85" s="3">
        <f t="shared" si="25"/>
        <v>90356.338087386335</v>
      </c>
      <c r="L85" s="3">
        <f t="shared" si="25"/>
        <v>102347.26951212922</v>
      </c>
      <c r="M85" s="3">
        <f t="shared" si="25"/>
        <v>114338.2009368721</v>
      </c>
      <c r="N85" s="3">
        <f t="shared" si="25"/>
        <v>126329.13236161499</v>
      </c>
      <c r="O85" s="3">
        <f t="shared" si="25"/>
        <v>138320.06378635787</v>
      </c>
      <c r="P85" s="3">
        <f t="shared" si="25"/>
        <v>150310.99521110076</v>
      </c>
      <c r="Q85" s="3">
        <f t="shared" si="25"/>
        <v>162301.92663584364</v>
      </c>
      <c r="R85" s="3">
        <f t="shared" si="25"/>
        <v>174292.85806058653</v>
      </c>
      <c r="S85" s="3">
        <f t="shared" si="25"/>
        <v>186283.78948532941</v>
      </c>
      <c r="T85" s="3">
        <f t="shared" si="25"/>
        <v>198274.7209100723</v>
      </c>
      <c r="U85" s="3">
        <f t="shared" si="25"/>
        <v>210265.65233481518</v>
      </c>
      <c r="V85" s="3">
        <f t="shared" si="25"/>
        <v>222256.58375955807</v>
      </c>
      <c r="W85" s="3">
        <f t="shared" si="25"/>
        <v>234247.51518430095</v>
      </c>
      <c r="X85" s="3">
        <f t="shared" si="25"/>
        <v>246238.44660904384</v>
      </c>
      <c r="Y85" s="3">
        <f t="shared" si="25"/>
        <v>258229.37803378672</v>
      </c>
      <c r="Z85" s="3">
        <f t="shared" si="25"/>
        <v>270220.30945852963</v>
      </c>
      <c r="AA85" s="3">
        <f t="shared" si="25"/>
        <v>282211.24088327255</v>
      </c>
      <c r="AB85" s="28">
        <f t="shared" si="25"/>
        <v>294202.17230801546</v>
      </c>
    </row>
    <row r="86" spans="2:28" ht="15.75" thickBot="1" x14ac:dyDescent="0.3">
      <c r="B86" s="12" t="s">
        <v>146</v>
      </c>
      <c r="C86" s="29">
        <f ca="1">IF((C80-$C80)&lt;$C$73,SUM($C84:C84),SUM(OFFSET(C84,0,-($C73-1)):C84))</f>
        <v>0</v>
      </c>
      <c r="D86" s="29">
        <f ca="1">IF((D80-$C80)&lt;$C$73,SUM($C84:D84),SUM(OFFSET(D84,0,-($C73-1)):D84))</f>
        <v>6419.8181141861251</v>
      </c>
      <c r="E86" s="29">
        <f ca="1">IF((E80-$C80)&lt;$C$73,SUM($C84:E84),SUM(OFFSET(E84,0,-($C73-1)):E84))</f>
        <v>18410.749538929012</v>
      </c>
      <c r="F86" s="29">
        <f ca="1">IF((F80-$C80)&lt;$C$73,SUM($C84:F84),SUM(OFFSET(F84,0,-($C73-1)):F84))</f>
        <v>30401.680963671901</v>
      </c>
      <c r="G86" s="29">
        <f ca="1">IF((G80-$C80)&lt;$C$73,SUM($C84:G84),SUM(OFFSET(G84,0,-($C73-1)):G84))</f>
        <v>42392.612388414789</v>
      </c>
      <c r="H86" s="29">
        <f ca="1">IF((H80-$C80)&lt;$C$73,SUM($C84:H84),SUM(OFFSET(H84,0,-($C73-1)):H84))</f>
        <v>54383.543813157681</v>
      </c>
      <c r="I86" s="29">
        <f ca="1">IF((I80-$C80)&lt;$C$73,SUM($C84:I84),SUM(OFFSET(I84,0,-($C73-1)):I84))</f>
        <v>66374.475237900566</v>
      </c>
      <c r="J86" s="29">
        <f ca="1">IF((J80-$C80)&lt;$C$73,SUM($C84:J84),SUM(OFFSET(J84,0,-($C73-1)):J84))</f>
        <v>78365.406662643451</v>
      </c>
      <c r="K86" s="29">
        <f ca="1">IF((K80-$C80)&lt;$C$73,SUM($C84:K84),SUM(OFFSET(K84,0,-($C73-1)):K84))</f>
        <v>90356.338087386335</v>
      </c>
      <c r="L86" s="29">
        <f ca="1">IF((L80-$C80)&lt;$C$73,SUM($C84:L84),SUM(OFFSET(L84,0,-($C73-1)):L84))</f>
        <v>102347.26951212922</v>
      </c>
      <c r="M86" s="29">
        <f ca="1">IF((M80-$C80)&lt;$C$73,SUM($C84:M84),SUM(OFFSET(M84,0,-($C73-1)):M84))</f>
        <v>114338.2009368721</v>
      </c>
      <c r="N86" s="29">
        <f ca="1">IF((N80-$C80)&lt;$C$73,SUM($C84:N84),SUM(OFFSET(N84,0,-($C73-1)):N84))</f>
        <v>119909.31424742886</v>
      </c>
      <c r="O86" s="29">
        <f ca="1">IF((O80-$C80)&lt;$C$73,SUM($C84:O84),SUM(OFFSET(O84,0,-($C73-1)):O84))</f>
        <v>119909.31424742886</v>
      </c>
      <c r="P86" s="29">
        <f ca="1">IF((P80-$C80)&lt;$C$73,SUM($C84:P84),SUM(OFFSET(P84,0,-($C73-1)):P84))</f>
        <v>119909.31424742886</v>
      </c>
      <c r="Q86" s="29">
        <f ca="1">IF((Q80-$C80)&lt;$C$73,SUM($C84:Q84),SUM(OFFSET(Q84,0,-($C73-1)):Q84))</f>
        <v>119909.31424742886</v>
      </c>
      <c r="R86" s="29">
        <f ca="1">IF((R80-$C80)&lt;$C$73,SUM($C84:R84),SUM(OFFSET(R84,0,-($C73-1)):R84))</f>
        <v>119909.31424742886</v>
      </c>
      <c r="S86" s="29">
        <f ca="1">IF((S80-$C80)&lt;$C$73,SUM($C84:S84),SUM(OFFSET(S84,0,-($C73-1)):S84))</f>
        <v>119909.31424742886</v>
      </c>
      <c r="T86" s="29">
        <f ca="1">IF((T80-$C80)&lt;$C$73,SUM($C84:T84),SUM(OFFSET(T84,0,-($C73-1)):T84))</f>
        <v>119909.31424742886</v>
      </c>
      <c r="U86" s="29">
        <f ca="1">IF((U80-$C80)&lt;$C$73,SUM($C84:U84),SUM(OFFSET(U84,0,-($C73-1)):U84))</f>
        <v>119909.31424742886</v>
      </c>
      <c r="V86" s="29">
        <f ca="1">IF((V80-$C80)&lt;$C$73,SUM($C84:V84),SUM(OFFSET(V84,0,-($C73-1)):V84))</f>
        <v>119909.31424742886</v>
      </c>
      <c r="W86" s="29">
        <f ca="1">IF((W80-$C80)&lt;$C$73,SUM($C84:W84),SUM(OFFSET(W84,0,-($C73-1)):W84))</f>
        <v>119909.31424742886</v>
      </c>
      <c r="X86" s="29">
        <f ca="1">IF((X80-$C80)&lt;$C$73,SUM($C84:X84),SUM(OFFSET(X84,0,-($C73-1)):X84))</f>
        <v>119909.31424742886</v>
      </c>
      <c r="Y86" s="29">
        <f ca="1">IF((Y80-$C80)&lt;$C$73,SUM($C84:Y84),SUM(OFFSET(Y84,0,-($C73-1)):Y84))</f>
        <v>119909.31424742886</v>
      </c>
      <c r="Z86" s="29">
        <f ca="1">IF((Z80-$C80)&lt;$C$73,SUM($C84:Z84),SUM(OFFSET(Z84,0,-($C73-1)):Z84))</f>
        <v>119909.31424742886</v>
      </c>
      <c r="AA86" s="29">
        <f ca="1">IF((AA80-$C80)&lt;$C$73,SUM($C84:AA84),SUM(OFFSET(AA84,0,-($C73-1)):AA84))</f>
        <v>119909.31424742886</v>
      </c>
      <c r="AB86" s="30">
        <f ca="1">IF((AB80-$C80)&lt;$C$73,SUM($C84:AB84),SUM(OFFSET(AB84,0,-($C73-1)):AB84))</f>
        <v>119909.31424742886</v>
      </c>
    </row>
    <row r="87" spans="2:28" x14ac:dyDescent="0.25">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2:28" x14ac:dyDescent="0.25">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2:28" ht="16.5" thickBot="1" x14ac:dyDescent="0.3">
      <c r="B89" s="48" t="s">
        <v>398</v>
      </c>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2:28" x14ac:dyDescent="0.25">
      <c r="B90" s="7"/>
      <c r="C90" s="8">
        <v>2025</v>
      </c>
      <c r="D90" s="8">
        <v>2026</v>
      </c>
      <c r="E90" s="8">
        <v>2027</v>
      </c>
      <c r="F90" s="8">
        <v>2028</v>
      </c>
      <c r="G90" s="8">
        <v>2029</v>
      </c>
      <c r="H90" s="8">
        <v>2030</v>
      </c>
      <c r="I90" s="8">
        <v>2031</v>
      </c>
      <c r="J90" s="8">
        <v>2032</v>
      </c>
      <c r="K90" s="8">
        <v>2033</v>
      </c>
      <c r="L90" s="8">
        <v>2034</v>
      </c>
      <c r="M90" s="8">
        <v>2035</v>
      </c>
      <c r="N90" s="8">
        <v>2036</v>
      </c>
      <c r="O90" s="8">
        <v>2037</v>
      </c>
      <c r="P90" s="8">
        <v>2038</v>
      </c>
      <c r="Q90" s="8">
        <v>2039</v>
      </c>
      <c r="R90" s="8">
        <v>2040</v>
      </c>
      <c r="S90" s="8">
        <v>2041</v>
      </c>
      <c r="T90" s="8">
        <v>2042</v>
      </c>
      <c r="U90" s="8">
        <v>2043</v>
      </c>
      <c r="V90" s="8">
        <v>2044</v>
      </c>
      <c r="W90" s="8">
        <v>2045</v>
      </c>
      <c r="X90" s="8">
        <v>2046</v>
      </c>
      <c r="Y90" s="8">
        <v>2047</v>
      </c>
      <c r="Z90" s="8">
        <v>2048</v>
      </c>
      <c r="AA90" s="8">
        <v>2049</v>
      </c>
      <c r="AB90" s="9">
        <v>2050</v>
      </c>
    </row>
    <row r="91" spans="2:28" x14ac:dyDescent="0.25">
      <c r="B91" s="10" t="s">
        <v>6</v>
      </c>
      <c r="C91" s="3">
        <f t="shared" ref="C91:AB91" si="26">(C7*$C$14*$C$15*$C$16+C9*$D$14*$D$15*$D$16)/$C$28*$C$27*$C$67/1000000/1000</f>
        <v>0</v>
      </c>
      <c r="D91" s="3">
        <f t="shared" si="26"/>
        <v>1456.3320048562887</v>
      </c>
      <c r="E91" s="3">
        <f t="shared" si="26"/>
        <v>2719.9770894811104</v>
      </c>
      <c r="F91" s="3">
        <f t="shared" si="26"/>
        <v>2719.9770894811104</v>
      </c>
      <c r="G91" s="3">
        <f t="shared" si="26"/>
        <v>2719.9770894811104</v>
      </c>
      <c r="H91" s="3">
        <f t="shared" si="26"/>
        <v>2719.9770894811104</v>
      </c>
      <c r="I91" s="3">
        <f t="shared" si="26"/>
        <v>2719.9770894811104</v>
      </c>
      <c r="J91" s="3">
        <f t="shared" si="26"/>
        <v>2719.9770894811104</v>
      </c>
      <c r="K91" s="3">
        <f t="shared" si="26"/>
        <v>2719.9770894811104</v>
      </c>
      <c r="L91" s="3">
        <f t="shared" si="26"/>
        <v>2719.9770894811104</v>
      </c>
      <c r="M91" s="3">
        <f t="shared" si="26"/>
        <v>2719.9770894811104</v>
      </c>
      <c r="N91" s="3">
        <f t="shared" si="26"/>
        <v>2719.9770894811104</v>
      </c>
      <c r="O91" s="3">
        <f t="shared" si="26"/>
        <v>2719.9770894811104</v>
      </c>
      <c r="P91" s="3">
        <f t="shared" si="26"/>
        <v>2719.9770894811104</v>
      </c>
      <c r="Q91" s="3">
        <f t="shared" si="26"/>
        <v>2719.9770894811104</v>
      </c>
      <c r="R91" s="3">
        <f t="shared" si="26"/>
        <v>2719.9770894811104</v>
      </c>
      <c r="S91" s="3">
        <f t="shared" si="26"/>
        <v>2719.9770894811104</v>
      </c>
      <c r="T91" s="3">
        <f t="shared" si="26"/>
        <v>2719.9770894811104</v>
      </c>
      <c r="U91" s="3">
        <f t="shared" si="26"/>
        <v>2719.9770894811104</v>
      </c>
      <c r="V91" s="3">
        <f t="shared" si="26"/>
        <v>2719.9770894811104</v>
      </c>
      <c r="W91" s="3">
        <f t="shared" si="26"/>
        <v>2719.9770894811104</v>
      </c>
      <c r="X91" s="3">
        <f t="shared" si="26"/>
        <v>2719.9770894811104</v>
      </c>
      <c r="Y91" s="3">
        <f t="shared" si="26"/>
        <v>2719.9770894811104</v>
      </c>
      <c r="Z91" s="3">
        <f t="shared" si="26"/>
        <v>2719.9770894811104</v>
      </c>
      <c r="AA91" s="3">
        <f t="shared" si="26"/>
        <v>2719.9770894811104</v>
      </c>
      <c r="AB91" s="3">
        <f t="shared" si="26"/>
        <v>2719.9770894811104</v>
      </c>
    </row>
    <row r="92" spans="2:28" x14ac:dyDescent="0.25">
      <c r="B92" s="10" t="s">
        <v>7</v>
      </c>
      <c r="C92" s="3">
        <f>C91</f>
        <v>0</v>
      </c>
      <c r="D92" s="3">
        <f>C92+D91</f>
        <v>1456.3320048562887</v>
      </c>
      <c r="E92" s="3">
        <f t="shared" ref="E92:AB92" si="27">D92+E91</f>
        <v>4176.3090943373991</v>
      </c>
      <c r="F92" s="3">
        <f t="shared" si="27"/>
        <v>6896.286183818509</v>
      </c>
      <c r="G92" s="3">
        <f t="shared" si="27"/>
        <v>9616.263273299619</v>
      </c>
      <c r="H92" s="3">
        <f t="shared" si="27"/>
        <v>12336.240362780729</v>
      </c>
      <c r="I92" s="3">
        <f t="shared" si="27"/>
        <v>15056.217452261839</v>
      </c>
      <c r="J92" s="3">
        <f t="shared" si="27"/>
        <v>17776.194541742949</v>
      </c>
      <c r="K92" s="3">
        <f t="shared" si="27"/>
        <v>20496.171631224061</v>
      </c>
      <c r="L92" s="3">
        <f t="shared" si="27"/>
        <v>23216.148720705172</v>
      </c>
      <c r="M92" s="3">
        <f t="shared" si="27"/>
        <v>25936.125810186284</v>
      </c>
      <c r="N92" s="3">
        <f t="shared" si="27"/>
        <v>28656.102899667396</v>
      </c>
      <c r="O92" s="3">
        <f t="shared" si="27"/>
        <v>31376.079989148508</v>
      </c>
      <c r="P92" s="3">
        <f t="shared" si="27"/>
        <v>34096.057078629616</v>
      </c>
      <c r="Q92" s="3">
        <f t="shared" si="27"/>
        <v>36816.034168110724</v>
      </c>
      <c r="R92" s="3">
        <f t="shared" si="27"/>
        <v>39536.011257591832</v>
      </c>
      <c r="S92" s="3">
        <f t="shared" si="27"/>
        <v>42255.98834707294</v>
      </c>
      <c r="T92" s="3">
        <f t="shared" si="27"/>
        <v>44975.965436554048</v>
      </c>
      <c r="U92" s="3">
        <f t="shared" si="27"/>
        <v>47695.942526035156</v>
      </c>
      <c r="V92" s="3">
        <f t="shared" si="27"/>
        <v>50415.919615516264</v>
      </c>
      <c r="W92" s="3">
        <f t="shared" si="27"/>
        <v>53135.896704997373</v>
      </c>
      <c r="X92" s="3">
        <f t="shared" si="27"/>
        <v>55855.873794478481</v>
      </c>
      <c r="Y92" s="3">
        <f t="shared" si="27"/>
        <v>58575.850883959589</v>
      </c>
      <c r="Z92" s="3">
        <f t="shared" si="27"/>
        <v>61295.827973440697</v>
      </c>
      <c r="AA92" s="3">
        <f t="shared" si="27"/>
        <v>64015.805062921805</v>
      </c>
      <c r="AB92" s="28">
        <f t="shared" si="27"/>
        <v>66735.782152402913</v>
      </c>
    </row>
    <row r="93" spans="2:28" ht="15.75" thickBot="1" x14ac:dyDescent="0.3">
      <c r="B93" s="12" t="s">
        <v>146</v>
      </c>
      <c r="C93" s="29">
        <f ca="1">IF((C90-$C90)&lt;$C$73,SUM($C91:C91),SUM(OFFSET(C91,0,-($C73-1)):C91))</f>
        <v>0</v>
      </c>
      <c r="D93" s="29">
        <f ca="1">IF((D90-$C90)&lt;$C$73,SUM($C91:D91),SUM(OFFSET(D91,0,-($C73-1)):D91))</f>
        <v>1456.3320048562887</v>
      </c>
      <c r="E93" s="29">
        <f ca="1">IF((E90-$C90)&lt;$C$73,SUM($C91:E91),SUM(OFFSET(E91,0,-($C73-1)):E91))</f>
        <v>4176.3090943373991</v>
      </c>
      <c r="F93" s="29">
        <f ca="1">IF((F90-$C90)&lt;$C$73,SUM($C91:F91),SUM(OFFSET(F91,0,-($C73-1)):F91))</f>
        <v>6896.286183818509</v>
      </c>
      <c r="G93" s="29">
        <f ca="1">IF((G90-$C90)&lt;$C$73,SUM($C91:G91),SUM(OFFSET(G91,0,-($C73-1)):G91))</f>
        <v>9616.263273299619</v>
      </c>
      <c r="H93" s="29">
        <f ca="1">IF((H90-$C90)&lt;$C$73,SUM($C91:H91),SUM(OFFSET(H91,0,-($C73-1)):H91))</f>
        <v>12336.240362780729</v>
      </c>
      <c r="I93" s="29">
        <f ca="1">IF((I90-$C90)&lt;$C$73,SUM($C91:I91),SUM(OFFSET(I91,0,-($C73-1)):I91))</f>
        <v>15056.217452261839</v>
      </c>
      <c r="J93" s="29">
        <f ca="1">IF((J90-$C90)&lt;$C$73,SUM($C91:J91),SUM(OFFSET(J91,0,-($C73-1)):J91))</f>
        <v>17776.194541742949</v>
      </c>
      <c r="K93" s="29">
        <f ca="1">IF((K90-$C90)&lt;$C$73,SUM($C91:K91),SUM(OFFSET(K91,0,-($C73-1)):K91))</f>
        <v>20496.171631224061</v>
      </c>
      <c r="L93" s="29">
        <f ca="1">IF((L90-$C90)&lt;$C$73,SUM($C91:L91),SUM(OFFSET(L91,0,-($C73-1)):L91))</f>
        <v>23216.148720705172</v>
      </c>
      <c r="M93" s="29">
        <f ca="1">IF((M90-$C90)&lt;$C$73,SUM($C91:M91),SUM(OFFSET(M91,0,-($C73-1)):M91))</f>
        <v>25936.125810186284</v>
      </c>
      <c r="N93" s="29">
        <f ca="1">IF((N90-$C90)&lt;$C$73,SUM($C91:N91),SUM(OFFSET(N91,0,-($C73-1)):N91))</f>
        <v>27199.770894811107</v>
      </c>
      <c r="O93" s="29">
        <f ca="1">IF((O90-$C90)&lt;$C$73,SUM($C91:O91),SUM(OFFSET(O91,0,-($C73-1)):O91))</f>
        <v>27199.770894811107</v>
      </c>
      <c r="P93" s="29">
        <f ca="1">IF((P90-$C90)&lt;$C$73,SUM($C91:P91),SUM(OFFSET(P91,0,-($C73-1)):P91))</f>
        <v>27199.770894811107</v>
      </c>
      <c r="Q93" s="29">
        <f ca="1">IF((Q90-$C90)&lt;$C$73,SUM($C91:Q91),SUM(OFFSET(Q91,0,-($C73-1)):Q91))</f>
        <v>27199.770894811107</v>
      </c>
      <c r="R93" s="29">
        <f ca="1">IF((R90-$C90)&lt;$C$73,SUM($C91:R91),SUM(OFFSET(R91,0,-($C73-1)):R91))</f>
        <v>27199.770894811107</v>
      </c>
      <c r="S93" s="29">
        <f ca="1">IF((S90-$C90)&lt;$C$73,SUM($C91:S91),SUM(OFFSET(S91,0,-($C73-1)):S91))</f>
        <v>27199.770894811107</v>
      </c>
      <c r="T93" s="29">
        <f ca="1">IF((T90-$C90)&lt;$C$73,SUM($C91:T91),SUM(OFFSET(T91,0,-($C73-1)):T91))</f>
        <v>27199.770894811107</v>
      </c>
      <c r="U93" s="29">
        <f ca="1">IF((U90-$C90)&lt;$C$73,SUM($C91:U91),SUM(OFFSET(U91,0,-($C73-1)):U91))</f>
        <v>27199.770894811107</v>
      </c>
      <c r="V93" s="29">
        <f ca="1">IF((V90-$C90)&lt;$C$73,SUM($C91:V91),SUM(OFFSET(V91,0,-($C73-1)):V91))</f>
        <v>27199.770894811107</v>
      </c>
      <c r="W93" s="29">
        <f ca="1">IF((W90-$C90)&lt;$C$73,SUM($C91:W91),SUM(OFFSET(W91,0,-($C73-1)):W91))</f>
        <v>27199.770894811107</v>
      </c>
      <c r="X93" s="29">
        <f ca="1">IF((X90-$C90)&lt;$C$73,SUM($C91:X91),SUM(OFFSET(X91,0,-($C73-1)):X91))</f>
        <v>27199.770894811107</v>
      </c>
      <c r="Y93" s="29">
        <f ca="1">IF((Y90-$C90)&lt;$C$73,SUM($C91:Y91),SUM(OFFSET(Y91,0,-($C73-1)):Y91))</f>
        <v>27199.770894811107</v>
      </c>
      <c r="Z93" s="29">
        <f ca="1">IF((Z90-$C90)&lt;$C$73,SUM($C91:Z91),SUM(OFFSET(Z91,0,-($C73-1)):Z91))</f>
        <v>27199.770894811107</v>
      </c>
      <c r="AA93" s="29">
        <f ca="1">IF((AA90-$C90)&lt;$C$73,SUM($C91:AA91),SUM(OFFSET(AA91,0,-($C73-1)):AA91))</f>
        <v>27199.770894811107</v>
      </c>
      <c r="AB93" s="29">
        <f ca="1">IF((AB90-$C90)&lt;$C$73,SUM($C91:AB91),SUM(OFFSET(AB91,0,-($C73-1)):AB91))</f>
        <v>27199.770894811107</v>
      </c>
    </row>
    <row r="94" spans="2:28" x14ac:dyDescent="0.25">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2:28" x14ac:dyDescent="0.25">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2:28" ht="16.5" thickBot="1" x14ac:dyDescent="0.3">
      <c r="B96" s="48" t="s">
        <v>144</v>
      </c>
    </row>
    <row r="97" spans="2:28" x14ac:dyDescent="0.25">
      <c r="B97" s="7"/>
      <c r="C97" s="8">
        <v>2025</v>
      </c>
      <c r="D97" s="8">
        <v>2026</v>
      </c>
      <c r="E97" s="8">
        <v>2027</v>
      </c>
      <c r="F97" s="8">
        <v>2028</v>
      </c>
      <c r="G97" s="8">
        <v>2029</v>
      </c>
      <c r="H97" s="8">
        <v>2030</v>
      </c>
      <c r="I97" s="8">
        <v>2031</v>
      </c>
      <c r="J97" s="8">
        <v>2032</v>
      </c>
      <c r="K97" s="8">
        <v>2033</v>
      </c>
      <c r="L97" s="8">
        <v>2034</v>
      </c>
      <c r="M97" s="8">
        <v>2035</v>
      </c>
      <c r="N97" s="8">
        <v>2036</v>
      </c>
      <c r="O97" s="8">
        <v>2037</v>
      </c>
      <c r="P97" s="8">
        <v>2038</v>
      </c>
      <c r="Q97" s="8">
        <v>2039</v>
      </c>
      <c r="R97" s="8">
        <v>2040</v>
      </c>
      <c r="S97" s="8">
        <v>2041</v>
      </c>
      <c r="T97" s="8">
        <v>2042</v>
      </c>
      <c r="U97" s="8">
        <v>2043</v>
      </c>
      <c r="V97" s="8">
        <v>2044</v>
      </c>
      <c r="W97" s="8">
        <v>2045</v>
      </c>
      <c r="X97" s="8">
        <v>2046</v>
      </c>
      <c r="Y97" s="8">
        <v>2047</v>
      </c>
      <c r="Z97" s="8">
        <v>2048</v>
      </c>
      <c r="AA97" s="8">
        <v>2049</v>
      </c>
      <c r="AB97" s="9">
        <v>2050</v>
      </c>
    </row>
    <row r="98" spans="2:28" x14ac:dyDescent="0.25">
      <c r="B98" s="10" t="s">
        <v>98</v>
      </c>
      <c r="C98" s="3">
        <f t="shared" ref="C98:AB98" si="28">((C7*$C$14*$C$15*$C$16*$C$29/$C$27*$C$28)+(C9*$D$14*$D$15*$D$16*$C$29/$C$27*$C$28))/(1-$C$36)/$C$35/1000</f>
        <v>0</v>
      </c>
      <c r="D98" s="3">
        <f t="shared" si="28"/>
        <v>3078.5984697155886</v>
      </c>
      <c r="E98" s="3">
        <f t="shared" si="28"/>
        <v>5749.8683524189455</v>
      </c>
      <c r="F98" s="3">
        <f t="shared" si="28"/>
        <v>5749.8683524189455</v>
      </c>
      <c r="G98" s="3">
        <f t="shared" si="28"/>
        <v>5749.8683524189455</v>
      </c>
      <c r="H98" s="3">
        <f t="shared" si="28"/>
        <v>5749.8683524189455</v>
      </c>
      <c r="I98" s="3">
        <f t="shared" si="28"/>
        <v>5749.8683524189455</v>
      </c>
      <c r="J98" s="3">
        <f t="shared" si="28"/>
        <v>5749.8683524189455</v>
      </c>
      <c r="K98" s="3">
        <f t="shared" si="28"/>
        <v>5749.8683524189455</v>
      </c>
      <c r="L98" s="3">
        <f t="shared" si="28"/>
        <v>5749.8683524189455</v>
      </c>
      <c r="M98" s="3">
        <f t="shared" si="28"/>
        <v>5749.8683524189455</v>
      </c>
      <c r="N98" s="3">
        <f t="shared" si="28"/>
        <v>5749.8683524189455</v>
      </c>
      <c r="O98" s="3">
        <f t="shared" si="28"/>
        <v>5749.8683524189455</v>
      </c>
      <c r="P98" s="3">
        <f t="shared" si="28"/>
        <v>5749.8683524189455</v>
      </c>
      <c r="Q98" s="3">
        <f t="shared" si="28"/>
        <v>5749.8683524189455</v>
      </c>
      <c r="R98" s="3">
        <f t="shared" si="28"/>
        <v>5749.8683524189455</v>
      </c>
      <c r="S98" s="3">
        <f t="shared" si="28"/>
        <v>5749.8683524189455</v>
      </c>
      <c r="T98" s="3">
        <f t="shared" si="28"/>
        <v>5749.8683524189455</v>
      </c>
      <c r="U98" s="3">
        <f t="shared" si="28"/>
        <v>5749.8683524189455</v>
      </c>
      <c r="V98" s="3">
        <f t="shared" si="28"/>
        <v>5749.8683524189455</v>
      </c>
      <c r="W98" s="3">
        <f t="shared" si="28"/>
        <v>5749.8683524189455</v>
      </c>
      <c r="X98" s="3">
        <f t="shared" si="28"/>
        <v>5749.8683524189455</v>
      </c>
      <c r="Y98" s="3">
        <f t="shared" si="28"/>
        <v>5749.8683524189455</v>
      </c>
      <c r="Z98" s="3">
        <f t="shared" si="28"/>
        <v>5749.8683524189455</v>
      </c>
      <c r="AA98" s="3">
        <f t="shared" si="28"/>
        <v>5749.8683524189455</v>
      </c>
      <c r="AB98" s="3">
        <f t="shared" si="28"/>
        <v>5749.8683524189455</v>
      </c>
    </row>
    <row r="99" spans="2:28" x14ac:dyDescent="0.25">
      <c r="B99" s="10" t="s">
        <v>3</v>
      </c>
      <c r="C99" s="3">
        <f>C98*$C$45*453.6/1000000</f>
        <v>0</v>
      </c>
      <c r="D99" s="3">
        <f t="shared" ref="D99:G99" si="29">D98*$C$45*453.6/1000000</f>
        <v>694.59535704025177</v>
      </c>
      <c r="E99" s="3">
        <f t="shared" si="29"/>
        <v>1297.288977588508</v>
      </c>
      <c r="F99" s="3">
        <f t="shared" si="29"/>
        <v>1297.288977588508</v>
      </c>
      <c r="G99" s="3">
        <f t="shared" si="29"/>
        <v>1297.288977588508</v>
      </c>
      <c r="H99" s="3">
        <f>H98*$C$46*453.6/1000000</f>
        <v>880.6385671145149</v>
      </c>
      <c r="I99" s="3">
        <f t="shared" ref="I99:V99" si="30">I98*$C$46*453.6/1000000</f>
        <v>880.6385671145149</v>
      </c>
      <c r="J99" s="3">
        <f t="shared" si="30"/>
        <v>880.6385671145149</v>
      </c>
      <c r="K99" s="3">
        <f t="shared" si="30"/>
        <v>880.6385671145149</v>
      </c>
      <c r="L99" s="3">
        <f t="shared" si="30"/>
        <v>880.6385671145149</v>
      </c>
      <c r="M99" s="3">
        <f t="shared" si="30"/>
        <v>880.6385671145149</v>
      </c>
      <c r="N99" s="3">
        <f t="shared" si="30"/>
        <v>880.6385671145149</v>
      </c>
      <c r="O99" s="3">
        <f t="shared" si="30"/>
        <v>880.6385671145149</v>
      </c>
      <c r="P99" s="3">
        <f t="shared" si="30"/>
        <v>880.6385671145149</v>
      </c>
      <c r="Q99" s="3">
        <f t="shared" si="30"/>
        <v>880.6385671145149</v>
      </c>
      <c r="R99" s="3">
        <f t="shared" si="30"/>
        <v>880.6385671145149</v>
      </c>
      <c r="S99" s="3">
        <f t="shared" si="30"/>
        <v>880.6385671145149</v>
      </c>
      <c r="T99" s="3">
        <f t="shared" si="30"/>
        <v>880.6385671145149</v>
      </c>
      <c r="U99" s="3">
        <f t="shared" si="30"/>
        <v>880.6385671145149</v>
      </c>
      <c r="V99" s="3">
        <f t="shared" si="30"/>
        <v>880.6385671145149</v>
      </c>
      <c r="W99" s="3">
        <f>W98*$C$47*453.6/1000000</f>
        <v>0</v>
      </c>
      <c r="X99" s="3">
        <f t="shared" ref="X99:AB99" si="31">X98*$C$47*453.6/1000000</f>
        <v>0</v>
      </c>
      <c r="Y99" s="3">
        <f t="shared" si="31"/>
        <v>0</v>
      </c>
      <c r="Z99" s="3">
        <f t="shared" si="31"/>
        <v>0</v>
      </c>
      <c r="AA99" s="3">
        <f t="shared" si="31"/>
        <v>0</v>
      </c>
      <c r="AB99" s="3">
        <f t="shared" si="31"/>
        <v>0</v>
      </c>
    </row>
    <row r="100" spans="2:28" x14ac:dyDescent="0.25">
      <c r="B100" s="10" t="s">
        <v>5</v>
      </c>
      <c r="C100" s="37">
        <f>C98*$D$45*453.6/1000000</f>
        <v>0</v>
      </c>
      <c r="D100" s="43">
        <f t="shared" ref="D100:G100" si="32">D98*$D$45*453.6/1000000</f>
        <v>4.189356797588973E-2</v>
      </c>
      <c r="E100" s="43">
        <f t="shared" si="32"/>
        <v>7.8244208539717003E-2</v>
      </c>
      <c r="F100" s="43">
        <f t="shared" si="32"/>
        <v>7.8244208539717003E-2</v>
      </c>
      <c r="G100" s="43">
        <f t="shared" si="32"/>
        <v>7.8244208539717003E-2</v>
      </c>
      <c r="H100" s="43">
        <f>H98*$D$46*453.6/1000000</f>
        <v>7.8244208539717003E-2</v>
      </c>
      <c r="I100" s="43">
        <f t="shared" ref="I100:V100" si="33">I98*$D$46*453.6/1000000</f>
        <v>7.8244208539717003E-2</v>
      </c>
      <c r="J100" s="43">
        <f t="shared" si="33"/>
        <v>7.8244208539717003E-2</v>
      </c>
      <c r="K100" s="43">
        <f t="shared" si="33"/>
        <v>7.8244208539717003E-2</v>
      </c>
      <c r="L100" s="43">
        <f t="shared" si="33"/>
        <v>7.8244208539717003E-2</v>
      </c>
      <c r="M100" s="43">
        <f t="shared" si="33"/>
        <v>7.8244208539717003E-2</v>
      </c>
      <c r="N100" s="43">
        <f t="shared" si="33"/>
        <v>7.8244208539717003E-2</v>
      </c>
      <c r="O100" s="43">
        <f t="shared" si="33"/>
        <v>7.8244208539717003E-2</v>
      </c>
      <c r="P100" s="43">
        <f t="shared" si="33"/>
        <v>7.8244208539717003E-2</v>
      </c>
      <c r="Q100" s="43">
        <f t="shared" si="33"/>
        <v>7.8244208539717003E-2</v>
      </c>
      <c r="R100" s="43">
        <f t="shared" si="33"/>
        <v>7.8244208539717003E-2</v>
      </c>
      <c r="S100" s="43">
        <f t="shared" si="33"/>
        <v>7.8244208539717003E-2</v>
      </c>
      <c r="T100" s="43">
        <f t="shared" si="33"/>
        <v>7.8244208539717003E-2</v>
      </c>
      <c r="U100" s="43">
        <f t="shared" si="33"/>
        <v>7.8244208539717003E-2</v>
      </c>
      <c r="V100" s="43">
        <f t="shared" si="33"/>
        <v>7.8244208539717003E-2</v>
      </c>
      <c r="W100" s="43">
        <f>W98*$D$47*453.6/1000000</f>
        <v>0</v>
      </c>
      <c r="X100" s="43">
        <f t="shared" ref="X100:AB100" si="34">X98*$D$47*453.6/1000000</f>
        <v>0</v>
      </c>
      <c r="Y100" s="43">
        <f t="shared" si="34"/>
        <v>0</v>
      </c>
      <c r="Z100" s="43">
        <f t="shared" si="34"/>
        <v>0</v>
      </c>
      <c r="AA100" s="43">
        <f t="shared" si="34"/>
        <v>0</v>
      </c>
      <c r="AB100" s="43">
        <f t="shared" si="34"/>
        <v>0</v>
      </c>
    </row>
    <row r="101" spans="2:28" x14ac:dyDescent="0.25">
      <c r="B101" s="10" t="s">
        <v>4</v>
      </c>
      <c r="C101" s="37">
        <f>C98*$E$45*453.6/1000000</f>
        <v>0</v>
      </c>
      <c r="D101" s="43">
        <f t="shared" ref="D101:G101" si="35">D98*$E$45*453.6/1000000</f>
        <v>5.5858090634519639E-3</v>
      </c>
      <c r="E101" s="43">
        <f t="shared" si="35"/>
        <v>1.0432561138628936E-2</v>
      </c>
      <c r="F101" s="43">
        <f t="shared" si="35"/>
        <v>1.0432561138628936E-2</v>
      </c>
      <c r="G101" s="43">
        <f t="shared" si="35"/>
        <v>1.0432561138628936E-2</v>
      </c>
      <c r="H101" s="43">
        <f>H98*$E$46*453.6/1000000</f>
        <v>1.0432561138628936E-2</v>
      </c>
      <c r="I101" s="43">
        <f t="shared" ref="I101:V101" si="36">I98*$E$46*453.6/1000000</f>
        <v>1.0432561138628936E-2</v>
      </c>
      <c r="J101" s="43">
        <f t="shared" si="36"/>
        <v>1.0432561138628936E-2</v>
      </c>
      <c r="K101" s="43">
        <f t="shared" si="36"/>
        <v>1.0432561138628936E-2</v>
      </c>
      <c r="L101" s="43">
        <f t="shared" si="36"/>
        <v>1.0432561138628936E-2</v>
      </c>
      <c r="M101" s="43">
        <f t="shared" si="36"/>
        <v>1.0432561138628936E-2</v>
      </c>
      <c r="N101" s="43">
        <f t="shared" si="36"/>
        <v>1.0432561138628936E-2</v>
      </c>
      <c r="O101" s="43">
        <f t="shared" si="36"/>
        <v>1.0432561138628936E-2</v>
      </c>
      <c r="P101" s="43">
        <f t="shared" si="36"/>
        <v>1.0432561138628936E-2</v>
      </c>
      <c r="Q101" s="43">
        <f t="shared" si="36"/>
        <v>1.0432561138628936E-2</v>
      </c>
      <c r="R101" s="43">
        <f t="shared" si="36"/>
        <v>1.0432561138628936E-2</v>
      </c>
      <c r="S101" s="43">
        <f t="shared" si="36"/>
        <v>1.0432561138628936E-2</v>
      </c>
      <c r="T101" s="43">
        <f t="shared" si="36"/>
        <v>1.0432561138628936E-2</v>
      </c>
      <c r="U101" s="43">
        <f t="shared" si="36"/>
        <v>1.0432561138628936E-2</v>
      </c>
      <c r="V101" s="43">
        <f t="shared" si="36"/>
        <v>1.0432561138628936E-2</v>
      </c>
      <c r="W101" s="43">
        <f>W98*$E$47*453.6/1000000</f>
        <v>0</v>
      </c>
      <c r="X101" s="43">
        <f t="shared" ref="X101:AB101" si="37">X98*$E$47*453.6/1000000</f>
        <v>0</v>
      </c>
      <c r="Y101" s="43">
        <f t="shared" si="37"/>
        <v>0</v>
      </c>
      <c r="Z101" s="43">
        <f t="shared" si="37"/>
        <v>0</v>
      </c>
      <c r="AA101" s="43">
        <f t="shared" si="37"/>
        <v>0</v>
      </c>
      <c r="AB101" s="43">
        <f t="shared" si="37"/>
        <v>0</v>
      </c>
    </row>
    <row r="102" spans="2:28" x14ac:dyDescent="0.25">
      <c r="B102" s="10" t="s">
        <v>6</v>
      </c>
      <c r="C102" s="3">
        <f>C99+C100*$D$55+C101*$E$55</f>
        <v>0</v>
      </c>
      <c r="D102" s="3">
        <f t="shared" ref="D102:AB102" si="38">D99+D100*$D$55+D101*$E$55</f>
        <v>697.24861634539138</v>
      </c>
      <c r="E102" s="3">
        <f t="shared" si="38"/>
        <v>1302.2444441293567</v>
      </c>
      <c r="F102" s="3">
        <f t="shared" si="38"/>
        <v>1302.2444441293567</v>
      </c>
      <c r="G102" s="3">
        <f t="shared" si="38"/>
        <v>1302.2444441293567</v>
      </c>
      <c r="H102" s="3">
        <f t="shared" si="38"/>
        <v>885.59403365536366</v>
      </c>
      <c r="I102" s="3">
        <f t="shared" si="38"/>
        <v>885.59403365536366</v>
      </c>
      <c r="J102" s="3">
        <f t="shared" si="38"/>
        <v>885.59403365536366</v>
      </c>
      <c r="K102" s="3">
        <f t="shared" si="38"/>
        <v>885.59403365536366</v>
      </c>
      <c r="L102" s="3">
        <f t="shared" si="38"/>
        <v>885.59403365536366</v>
      </c>
      <c r="M102" s="3">
        <f t="shared" si="38"/>
        <v>885.59403365536366</v>
      </c>
      <c r="N102" s="3">
        <f t="shared" si="38"/>
        <v>885.59403365536366</v>
      </c>
      <c r="O102" s="3">
        <f t="shared" si="38"/>
        <v>885.59403365536366</v>
      </c>
      <c r="P102" s="3">
        <f t="shared" si="38"/>
        <v>885.59403365536366</v>
      </c>
      <c r="Q102" s="3">
        <f t="shared" si="38"/>
        <v>885.59403365536366</v>
      </c>
      <c r="R102" s="3">
        <f t="shared" si="38"/>
        <v>885.59403365536366</v>
      </c>
      <c r="S102" s="3">
        <f t="shared" si="38"/>
        <v>885.59403365536366</v>
      </c>
      <c r="T102" s="3">
        <f t="shared" si="38"/>
        <v>885.59403365536366</v>
      </c>
      <c r="U102" s="3">
        <f t="shared" si="38"/>
        <v>885.59403365536366</v>
      </c>
      <c r="V102" s="3">
        <f t="shared" si="38"/>
        <v>885.59403365536366</v>
      </c>
      <c r="W102" s="3">
        <f t="shared" si="38"/>
        <v>0</v>
      </c>
      <c r="X102" s="3">
        <f t="shared" si="38"/>
        <v>0</v>
      </c>
      <c r="Y102" s="3">
        <f t="shared" si="38"/>
        <v>0</v>
      </c>
      <c r="Z102" s="3">
        <f t="shared" si="38"/>
        <v>0</v>
      </c>
      <c r="AA102" s="3">
        <f t="shared" si="38"/>
        <v>0</v>
      </c>
      <c r="AB102" s="28">
        <f t="shared" si="38"/>
        <v>0</v>
      </c>
    </row>
    <row r="103" spans="2:28" x14ac:dyDescent="0.25">
      <c r="B103" s="10" t="s">
        <v>7</v>
      </c>
      <c r="C103" s="3">
        <f>C102</f>
        <v>0</v>
      </c>
      <c r="D103" s="3">
        <f>C103+D102</f>
        <v>697.24861634539138</v>
      </c>
      <c r="E103" s="3">
        <f t="shared" ref="E103:AB103" si="39">D103+E102</f>
        <v>1999.4930604747481</v>
      </c>
      <c r="F103" s="3">
        <f t="shared" si="39"/>
        <v>3301.7375046041047</v>
      </c>
      <c r="G103" s="3">
        <f t="shared" si="39"/>
        <v>4603.9819487334616</v>
      </c>
      <c r="H103" s="3">
        <f t="shared" si="39"/>
        <v>5489.5759823888257</v>
      </c>
      <c r="I103" s="3">
        <f t="shared" si="39"/>
        <v>6375.1700160441897</v>
      </c>
      <c r="J103" s="3">
        <f t="shared" si="39"/>
        <v>7260.7640496995537</v>
      </c>
      <c r="K103" s="3">
        <f t="shared" si="39"/>
        <v>8146.3580833549177</v>
      </c>
      <c r="L103" s="3">
        <f t="shared" si="39"/>
        <v>9031.9521170102817</v>
      </c>
      <c r="M103" s="3">
        <f t="shared" si="39"/>
        <v>9917.5461506656447</v>
      </c>
      <c r="N103" s="3">
        <f t="shared" si="39"/>
        <v>10803.140184321008</v>
      </c>
      <c r="O103" s="3">
        <f t="shared" si="39"/>
        <v>11688.734217976371</v>
      </c>
      <c r="P103" s="3">
        <f t="shared" si="39"/>
        <v>12574.328251631734</v>
      </c>
      <c r="Q103" s="3">
        <f t="shared" si="39"/>
        <v>13459.922285287097</v>
      </c>
      <c r="R103" s="3">
        <f t="shared" si="39"/>
        <v>14345.51631894246</v>
      </c>
      <c r="S103" s="3">
        <f t="shared" si="39"/>
        <v>15231.110352597823</v>
      </c>
      <c r="T103" s="3">
        <f t="shared" si="39"/>
        <v>16116.704386253186</v>
      </c>
      <c r="U103" s="3">
        <f t="shared" si="39"/>
        <v>17002.298419908551</v>
      </c>
      <c r="V103" s="3">
        <f t="shared" si="39"/>
        <v>17887.892453563916</v>
      </c>
      <c r="W103" s="3">
        <f t="shared" si="39"/>
        <v>17887.892453563916</v>
      </c>
      <c r="X103" s="3">
        <f t="shared" si="39"/>
        <v>17887.892453563916</v>
      </c>
      <c r="Y103" s="3">
        <f t="shared" si="39"/>
        <v>17887.892453563916</v>
      </c>
      <c r="Z103" s="3">
        <f t="shared" si="39"/>
        <v>17887.892453563916</v>
      </c>
      <c r="AA103" s="3">
        <f t="shared" si="39"/>
        <v>17887.892453563916</v>
      </c>
      <c r="AB103" s="28">
        <f t="shared" si="39"/>
        <v>17887.892453563916</v>
      </c>
    </row>
    <row r="104" spans="2:28" ht="15.75" thickBot="1" x14ac:dyDescent="0.3">
      <c r="B104" s="12" t="s">
        <v>146</v>
      </c>
      <c r="C104" s="29">
        <f ca="1">IF((C97-$C97)&lt;$C$73,SUM($C102:C102),SUM(OFFSET(C102,0,-($C73-1)):C102))</f>
        <v>0</v>
      </c>
      <c r="D104" s="29">
        <f ca="1">IF((D97-$C97)&lt;$C$73,SUM($C102:D102),SUM(OFFSET(D102,0,-($C73-1)):D102))</f>
        <v>697.24861634539138</v>
      </c>
      <c r="E104" s="29">
        <f ca="1">IF((E97-$C97)&lt;$C$73,SUM($C102:E102),SUM(OFFSET(E102,0,-($C73-1)):E102))</f>
        <v>1999.4930604747481</v>
      </c>
      <c r="F104" s="29">
        <f ca="1">IF((F97-$C97)&lt;$C$73,SUM($C102:F102),SUM(OFFSET(F102,0,-($C73-1)):F102))</f>
        <v>3301.7375046041047</v>
      </c>
      <c r="G104" s="29">
        <f ca="1">IF((G97-$C97)&lt;$C$73,SUM($C102:G102),SUM(OFFSET(G102,0,-($C73-1)):G102))</f>
        <v>4603.9819487334616</v>
      </c>
      <c r="H104" s="29">
        <f ca="1">IF((H97-$C97)&lt;$C$73,SUM($C102:H102),SUM(OFFSET(H102,0,-($C73-1)):H102))</f>
        <v>5489.5759823888257</v>
      </c>
      <c r="I104" s="29">
        <f ca="1">IF((I97-$C97)&lt;$C$73,SUM($C102:I102),SUM(OFFSET(I102,0,-($C73-1)):I102))</f>
        <v>6375.1700160441897</v>
      </c>
      <c r="J104" s="29">
        <f ca="1">IF((J97-$C97)&lt;$C$73,SUM($C102:J102),SUM(OFFSET(J102,0,-($C73-1)):J102))</f>
        <v>7260.7640496995537</v>
      </c>
      <c r="K104" s="29">
        <f ca="1">IF((K97-$C97)&lt;$C$73,SUM($C102:K102),SUM(OFFSET(K102,0,-($C73-1)):K102))</f>
        <v>8146.3580833549177</v>
      </c>
      <c r="L104" s="29">
        <f ca="1">IF((L97-$C97)&lt;$C$73,SUM($C102:L102),SUM(OFFSET(L102,0,-($C73-1)):L102))</f>
        <v>9031.9521170102817</v>
      </c>
      <c r="M104" s="29">
        <f ca="1">IF((M97-$C97)&lt;$C$73,SUM($C102:M102),SUM(OFFSET(M102,0,-($C73-1)):M102))</f>
        <v>9917.5461506656447</v>
      </c>
      <c r="N104" s="29">
        <f ca="1">IF((N97-$C97)&lt;$C$73,SUM($C102:N102),SUM(OFFSET(N102,0,-($C73-1)):N102))</f>
        <v>10105.891567975616</v>
      </c>
      <c r="O104" s="29">
        <f ca="1">IF((O97-$C97)&lt;$C$73,SUM($C102:O102),SUM(OFFSET(O102,0,-($C73-1)):O102))</f>
        <v>9689.2411575016231</v>
      </c>
      <c r="P104" s="29">
        <f ca="1">IF((P97-$C97)&lt;$C$73,SUM($C102:P102),SUM(OFFSET(P102,0,-($C73-1)):P102))</f>
        <v>9272.5907470276306</v>
      </c>
      <c r="Q104" s="29">
        <f ca="1">IF((Q97-$C97)&lt;$C$73,SUM($C102:Q102),SUM(OFFSET(Q102,0,-($C73-1)):Q102))</f>
        <v>8855.9403365536382</v>
      </c>
      <c r="R104" s="29">
        <f ca="1">IF((R97-$C97)&lt;$C$73,SUM($C102:R102),SUM(OFFSET(R102,0,-($C73-1)):R102))</f>
        <v>8855.9403365536382</v>
      </c>
      <c r="S104" s="29">
        <f ca="1">IF((S97-$C97)&lt;$C$73,SUM($C102:S102),SUM(OFFSET(S102,0,-($C73-1)):S102))</f>
        <v>8855.9403365536382</v>
      </c>
      <c r="T104" s="29">
        <f ca="1">IF((T97-$C97)&lt;$C$73,SUM($C102:T102),SUM(OFFSET(T102,0,-($C73-1)):T102))</f>
        <v>8855.9403365536382</v>
      </c>
      <c r="U104" s="29">
        <f ca="1">IF((U97-$C97)&lt;$C$73,SUM($C102:U102),SUM(OFFSET(U102,0,-($C73-1)):U102))</f>
        <v>8855.9403365536382</v>
      </c>
      <c r="V104" s="29">
        <f ca="1">IF((V97-$C97)&lt;$C$73,SUM($C102:V102),SUM(OFFSET(V102,0,-($C73-1)):V102))</f>
        <v>8855.9403365536382</v>
      </c>
      <c r="W104" s="29">
        <f ca="1">IF((W97-$C97)&lt;$C$73,SUM($C102:W102),SUM(OFFSET(W102,0,-($C73-1)):W102))</f>
        <v>7970.3463028982742</v>
      </c>
      <c r="X104" s="29">
        <f ca="1">IF((X97-$C97)&lt;$C$73,SUM($C102:X102),SUM(OFFSET(X102,0,-($C73-1)):X102))</f>
        <v>7084.7522692429102</v>
      </c>
      <c r="Y104" s="29">
        <f ca="1">IF((Y97-$C97)&lt;$C$73,SUM($C102:Y102),SUM(OFFSET(Y102,0,-($C73-1)):Y102))</f>
        <v>6199.1582355875462</v>
      </c>
      <c r="Z104" s="29">
        <f ca="1">IF((Z97-$C97)&lt;$C$73,SUM($C102:Z102),SUM(OFFSET(Z102,0,-($C73-1)):Z102))</f>
        <v>5313.5642019321822</v>
      </c>
      <c r="AA104" s="29">
        <f ca="1">IF((AA97-$C97)&lt;$C$73,SUM($C102:AA102),SUM(OFFSET(AA102,0,-($C73-1)):AA102))</f>
        <v>4427.9701682768182</v>
      </c>
      <c r="AB104" s="30">
        <f ca="1">IF((AB97-$C97)&lt;$C$73,SUM($C102:AB102),SUM(OFFSET(AB102,0,-($C73-1)):AB102))</f>
        <v>3542.3761346214546</v>
      </c>
    </row>
    <row r="107" spans="2:28" ht="16.5" thickBot="1" x14ac:dyDescent="0.3">
      <c r="B107" s="48" t="s">
        <v>305</v>
      </c>
    </row>
    <row r="108" spans="2:28" ht="15.75" x14ac:dyDescent="0.25">
      <c r="B108" s="133"/>
      <c r="C108" s="8">
        <v>2025</v>
      </c>
      <c r="D108" s="8">
        <v>2026</v>
      </c>
      <c r="E108" s="8">
        <v>2027</v>
      </c>
      <c r="F108" s="8">
        <v>2028</v>
      </c>
      <c r="G108" s="8">
        <v>2029</v>
      </c>
      <c r="H108" s="8">
        <v>2030</v>
      </c>
      <c r="I108" s="8">
        <v>2031</v>
      </c>
      <c r="J108" s="8">
        <v>2032</v>
      </c>
      <c r="K108" s="8">
        <v>2033</v>
      </c>
      <c r="L108" s="8">
        <v>2034</v>
      </c>
      <c r="M108" s="8">
        <v>2035</v>
      </c>
      <c r="N108" s="8">
        <v>2036</v>
      </c>
      <c r="O108" s="8">
        <v>2037</v>
      </c>
      <c r="P108" s="8">
        <v>2038</v>
      </c>
      <c r="Q108" s="8">
        <v>2039</v>
      </c>
      <c r="R108" s="8">
        <v>2040</v>
      </c>
      <c r="S108" s="8">
        <v>2041</v>
      </c>
      <c r="T108" s="8">
        <v>2042</v>
      </c>
      <c r="U108" s="8">
        <v>2043</v>
      </c>
      <c r="V108" s="8">
        <v>2044</v>
      </c>
      <c r="W108" s="8">
        <v>2045</v>
      </c>
      <c r="X108" s="8">
        <v>2046</v>
      </c>
      <c r="Y108" s="8">
        <v>2047</v>
      </c>
      <c r="Z108" s="8">
        <v>2048</v>
      </c>
      <c r="AA108" s="8">
        <v>2049</v>
      </c>
      <c r="AB108" s="9">
        <v>2050</v>
      </c>
    </row>
    <row r="109" spans="2:28" x14ac:dyDescent="0.25">
      <c r="B109" s="10" t="s">
        <v>307</v>
      </c>
      <c r="C109" s="3">
        <f>C84+C91-C102</f>
        <v>0</v>
      </c>
      <c r="D109" s="3">
        <f t="shared" ref="D109:AB109" si="40">D84+D91-D102</f>
        <v>7178.9015026970219</v>
      </c>
      <c r="E109" s="3">
        <f t="shared" si="40"/>
        <v>13408.664070094641</v>
      </c>
      <c r="F109" s="3">
        <f t="shared" si="40"/>
        <v>13408.664070094641</v>
      </c>
      <c r="G109" s="3">
        <f t="shared" si="40"/>
        <v>13408.664070094641</v>
      </c>
      <c r="H109" s="3">
        <f t="shared" si="40"/>
        <v>13825.314480568635</v>
      </c>
      <c r="I109" s="3">
        <f t="shared" si="40"/>
        <v>13825.314480568635</v>
      </c>
      <c r="J109" s="3">
        <f t="shared" si="40"/>
        <v>13825.314480568635</v>
      </c>
      <c r="K109" s="3">
        <f t="shared" si="40"/>
        <v>13825.314480568635</v>
      </c>
      <c r="L109" s="3">
        <f t="shared" si="40"/>
        <v>13825.314480568635</v>
      </c>
      <c r="M109" s="3">
        <f t="shared" si="40"/>
        <v>13825.314480568635</v>
      </c>
      <c r="N109" s="3">
        <f t="shared" si="40"/>
        <v>13825.314480568635</v>
      </c>
      <c r="O109" s="3">
        <f t="shared" si="40"/>
        <v>13825.314480568635</v>
      </c>
      <c r="P109" s="3">
        <f t="shared" si="40"/>
        <v>13825.314480568635</v>
      </c>
      <c r="Q109" s="3">
        <f t="shared" si="40"/>
        <v>13825.314480568635</v>
      </c>
      <c r="R109" s="3">
        <f t="shared" si="40"/>
        <v>13825.314480568635</v>
      </c>
      <c r="S109" s="3">
        <f t="shared" si="40"/>
        <v>13825.314480568635</v>
      </c>
      <c r="T109" s="3">
        <f t="shared" si="40"/>
        <v>13825.314480568635</v>
      </c>
      <c r="U109" s="3">
        <f t="shared" si="40"/>
        <v>13825.314480568635</v>
      </c>
      <c r="V109" s="3">
        <f t="shared" si="40"/>
        <v>13825.314480568635</v>
      </c>
      <c r="W109" s="3">
        <f t="shared" si="40"/>
        <v>14710.908514223998</v>
      </c>
      <c r="X109" s="3">
        <f t="shared" si="40"/>
        <v>14710.908514223998</v>
      </c>
      <c r="Y109" s="3">
        <f t="shared" si="40"/>
        <v>14710.908514223998</v>
      </c>
      <c r="Z109" s="3">
        <f t="shared" si="40"/>
        <v>14710.908514223998</v>
      </c>
      <c r="AA109" s="3">
        <f t="shared" si="40"/>
        <v>14710.908514223998</v>
      </c>
      <c r="AB109" s="3">
        <f t="shared" si="40"/>
        <v>14710.908514223998</v>
      </c>
    </row>
    <row r="110" spans="2:28" ht="15.75" thickBot="1" x14ac:dyDescent="0.3">
      <c r="B110" s="12" t="s">
        <v>308</v>
      </c>
      <c r="C110" s="29">
        <f ca="1">C86+C93-C104</f>
        <v>0</v>
      </c>
      <c r="D110" s="29">
        <f t="shared" ref="D110:AB110" ca="1" si="41">D86+D93-D104</f>
        <v>7178.9015026970219</v>
      </c>
      <c r="E110" s="29">
        <f t="shared" ca="1" si="41"/>
        <v>20587.56557279166</v>
      </c>
      <c r="F110" s="29">
        <f t="shared" ca="1" si="41"/>
        <v>33996.229642886305</v>
      </c>
      <c r="G110" s="29">
        <f t="shared" ca="1" si="41"/>
        <v>47404.893712980949</v>
      </c>
      <c r="H110" s="29">
        <f t="shared" ca="1" si="41"/>
        <v>61230.208193549581</v>
      </c>
      <c r="I110" s="29">
        <f t="shared" ca="1" si="41"/>
        <v>75055.522674118227</v>
      </c>
      <c r="J110" s="29">
        <f t="shared" ca="1" si="41"/>
        <v>88880.837154686844</v>
      </c>
      <c r="K110" s="29">
        <f t="shared" ca="1" si="41"/>
        <v>102706.15163525548</v>
      </c>
      <c r="L110" s="29">
        <f t="shared" ca="1" si="41"/>
        <v>116531.46611582411</v>
      </c>
      <c r="M110" s="29">
        <f t="shared" ca="1" si="41"/>
        <v>130356.78059639275</v>
      </c>
      <c r="N110" s="29">
        <f t="shared" ca="1" si="41"/>
        <v>137003.19357426435</v>
      </c>
      <c r="O110" s="29">
        <f t="shared" ca="1" si="41"/>
        <v>137419.84398473834</v>
      </c>
      <c r="P110" s="29">
        <f t="shared" ca="1" si="41"/>
        <v>137836.49439521233</v>
      </c>
      <c r="Q110" s="29">
        <f t="shared" ca="1" si="41"/>
        <v>138253.14480568632</v>
      </c>
      <c r="R110" s="29">
        <f t="shared" ca="1" si="41"/>
        <v>138253.14480568632</v>
      </c>
      <c r="S110" s="29">
        <f t="shared" ca="1" si="41"/>
        <v>138253.14480568632</v>
      </c>
      <c r="T110" s="29">
        <f t="shared" ca="1" si="41"/>
        <v>138253.14480568632</v>
      </c>
      <c r="U110" s="29">
        <f t="shared" ca="1" si="41"/>
        <v>138253.14480568632</v>
      </c>
      <c r="V110" s="29">
        <f t="shared" ca="1" si="41"/>
        <v>138253.14480568632</v>
      </c>
      <c r="W110" s="29">
        <f t="shared" ca="1" si="41"/>
        <v>139138.73883934168</v>
      </c>
      <c r="X110" s="29">
        <f t="shared" ca="1" si="41"/>
        <v>140024.33287299704</v>
      </c>
      <c r="Y110" s="29">
        <f t="shared" ca="1" si="41"/>
        <v>140909.9269066524</v>
      </c>
      <c r="Z110" s="29">
        <f t="shared" ca="1" si="41"/>
        <v>141795.52094030776</v>
      </c>
      <c r="AA110" s="29">
        <f t="shared" ca="1" si="41"/>
        <v>142681.11497396315</v>
      </c>
      <c r="AB110" s="29">
        <f t="shared" ca="1" si="41"/>
        <v>143566.70900761851</v>
      </c>
    </row>
    <row r="114" spans="2:3" ht="16.5" thickBot="1" x14ac:dyDescent="0.3">
      <c r="B114" s="48" t="s">
        <v>145</v>
      </c>
    </row>
    <row r="115" spans="2:3" x14ac:dyDescent="0.25">
      <c r="B115" s="7"/>
      <c r="C115" s="9">
        <v>2030</v>
      </c>
    </row>
    <row r="116" spans="2:3" x14ac:dyDescent="0.25">
      <c r="B116" s="10" t="s">
        <v>132</v>
      </c>
      <c r="C116" s="45">
        <f>H7*C62+H9*C63</f>
        <v>24.078151526843538</v>
      </c>
    </row>
    <row r="117" spans="2:3" x14ac:dyDescent="0.25">
      <c r="B117" s="10" t="s">
        <v>133</v>
      </c>
      <c r="C117" s="45">
        <f>H7*D62+H9*D63</f>
        <v>1.2200770143768596</v>
      </c>
    </row>
    <row r="118" spans="2:3" ht="15.75" thickBot="1" x14ac:dyDescent="0.3">
      <c r="B118" s="12" t="s">
        <v>134</v>
      </c>
      <c r="C118" s="47">
        <f>H7*E62+H9*E63</f>
        <v>1.1224708532267109</v>
      </c>
    </row>
  </sheetData>
  <mergeCells count="2">
    <mergeCell ref="C60:E60"/>
    <mergeCell ref="B60:B61"/>
  </mergeCells>
  <hyperlinks>
    <hyperlink ref="B41" r:id="rId1" location="What%20is%20Grid%20Gross%20Loss" xr:uid="{00000000-0004-0000-0300-000000000000}"/>
    <hyperlink ref="B39" r:id="rId2" display="https://afdc.energy.gov/files/pdfs/argonne_phev_evaluation_report.pdf" xr:uid="{00000000-0004-0000-0300-000001000000}"/>
    <hyperlink ref="B50" r:id="rId3" xr:uid="{00000000-0004-0000-0300-000002000000}"/>
    <hyperlink ref="B70" r:id="rId4" xr:uid="{F10FD369-5947-4366-8A57-C634210AB7D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AB110"/>
  <sheetViews>
    <sheetView workbookViewId="0">
      <selection activeCell="I32" sqref="I32"/>
    </sheetView>
  </sheetViews>
  <sheetFormatPr defaultRowHeight="15" x14ac:dyDescent="0.25"/>
  <cols>
    <col min="2" max="2" width="45.85546875" customWidth="1"/>
    <col min="3" max="3" width="11.28515625" customWidth="1"/>
    <col min="4" max="5" width="10.5703125" bestFit="1" customWidth="1"/>
    <col min="6" max="14" width="11.5703125" bestFit="1" customWidth="1"/>
    <col min="15" max="28" width="12.5703125" bestFit="1" customWidth="1"/>
  </cols>
  <sheetData>
    <row r="3" spans="2:28" ht="15.75" x14ac:dyDescent="0.25">
      <c r="B3" s="48" t="s">
        <v>446</v>
      </c>
    </row>
    <row r="4" spans="2:28" ht="15.75" thickBot="1" x14ac:dyDescent="0.3"/>
    <row r="5" spans="2:28" x14ac:dyDescent="0.25">
      <c r="B5" s="56"/>
      <c r="C5" s="61">
        <v>2025</v>
      </c>
      <c r="D5" s="61">
        <v>2026</v>
      </c>
      <c r="E5" s="61">
        <v>2027</v>
      </c>
      <c r="F5" s="61">
        <v>2028</v>
      </c>
      <c r="G5" s="61">
        <v>2029</v>
      </c>
      <c r="H5" s="61">
        <v>2030</v>
      </c>
      <c r="I5" s="61">
        <v>2031</v>
      </c>
      <c r="J5" s="61">
        <v>2032</v>
      </c>
      <c r="K5" s="61">
        <v>2033</v>
      </c>
      <c r="L5" s="61">
        <v>2034</v>
      </c>
      <c r="M5" s="61">
        <v>2035</v>
      </c>
      <c r="N5" s="61">
        <v>2036</v>
      </c>
      <c r="O5" s="61">
        <v>2037</v>
      </c>
      <c r="P5" s="61">
        <v>2038</v>
      </c>
      <c r="Q5" s="61">
        <v>2039</v>
      </c>
      <c r="R5" s="61">
        <v>2040</v>
      </c>
      <c r="S5" s="61">
        <v>2041</v>
      </c>
      <c r="T5" s="61">
        <v>2042</v>
      </c>
      <c r="U5" s="61">
        <v>2043</v>
      </c>
      <c r="V5" s="61">
        <v>2044</v>
      </c>
      <c r="W5" s="61">
        <v>2045</v>
      </c>
      <c r="X5" s="61">
        <v>2046</v>
      </c>
      <c r="Y5" s="61">
        <v>2047</v>
      </c>
      <c r="Z5" s="61">
        <v>2048</v>
      </c>
      <c r="AA5" s="61">
        <v>2049</v>
      </c>
      <c r="AB5" s="62">
        <v>2050</v>
      </c>
    </row>
    <row r="6" spans="2:28" x14ac:dyDescent="0.25">
      <c r="B6" s="57" t="s">
        <v>272</v>
      </c>
      <c r="C6" s="55">
        <f>'Number of ZE Units'!C31</f>
        <v>0</v>
      </c>
      <c r="D6" s="55">
        <f>'Number of ZE Units'!D31</f>
        <v>0</v>
      </c>
      <c r="E6" s="55">
        <f>'Number of ZE Units'!E31</f>
        <v>4</v>
      </c>
      <c r="F6" s="55">
        <f>'Number of ZE Units'!F31</f>
        <v>14</v>
      </c>
      <c r="G6" s="55">
        <f>'Number of ZE Units'!G31</f>
        <v>0</v>
      </c>
      <c r="H6" s="55">
        <f>'Number of ZE Units'!H31</f>
        <v>0</v>
      </c>
      <c r="I6" s="55"/>
      <c r="J6" s="55"/>
      <c r="K6" s="55"/>
      <c r="L6" s="55"/>
      <c r="M6" s="55"/>
      <c r="N6" s="55"/>
      <c r="O6" s="55"/>
      <c r="P6" s="55"/>
      <c r="Q6" s="55"/>
      <c r="R6" s="55"/>
      <c r="S6" s="55"/>
      <c r="T6" s="55"/>
      <c r="U6" s="55"/>
      <c r="V6" s="55"/>
      <c r="W6" s="55"/>
      <c r="X6" s="55"/>
      <c r="Y6" s="55"/>
      <c r="Z6" s="55"/>
      <c r="AA6" s="55"/>
      <c r="AB6" s="58"/>
    </row>
    <row r="7" spans="2:28" ht="15.75" thickBot="1" x14ac:dyDescent="0.3">
      <c r="B7" s="63" t="s">
        <v>273</v>
      </c>
      <c r="C7" s="59">
        <f>C6</f>
        <v>0</v>
      </c>
      <c r="D7" s="59">
        <f>C7+D6</f>
        <v>0</v>
      </c>
      <c r="E7" s="59">
        <f>D7+E6</f>
        <v>4</v>
      </c>
      <c r="F7" s="59">
        <f>E7+F6</f>
        <v>18</v>
      </c>
      <c r="G7" s="59">
        <f t="shared" ref="G7:AB7" si="0">F7+G6</f>
        <v>18</v>
      </c>
      <c r="H7" s="59">
        <f t="shared" si="0"/>
        <v>18</v>
      </c>
      <c r="I7" s="59">
        <f t="shared" si="0"/>
        <v>18</v>
      </c>
      <c r="J7" s="59">
        <f t="shared" si="0"/>
        <v>18</v>
      </c>
      <c r="K7" s="59">
        <f t="shared" si="0"/>
        <v>18</v>
      </c>
      <c r="L7" s="59">
        <f t="shared" si="0"/>
        <v>18</v>
      </c>
      <c r="M7" s="59">
        <f t="shared" si="0"/>
        <v>18</v>
      </c>
      <c r="N7" s="59">
        <f t="shared" si="0"/>
        <v>18</v>
      </c>
      <c r="O7" s="59">
        <f t="shared" si="0"/>
        <v>18</v>
      </c>
      <c r="P7" s="59">
        <f t="shared" si="0"/>
        <v>18</v>
      </c>
      <c r="Q7" s="59">
        <f t="shared" si="0"/>
        <v>18</v>
      </c>
      <c r="R7" s="59">
        <f t="shared" si="0"/>
        <v>18</v>
      </c>
      <c r="S7" s="59">
        <f t="shared" si="0"/>
        <v>18</v>
      </c>
      <c r="T7" s="59">
        <f t="shared" si="0"/>
        <v>18</v>
      </c>
      <c r="U7" s="59">
        <f t="shared" si="0"/>
        <v>18</v>
      </c>
      <c r="V7" s="59">
        <f t="shared" si="0"/>
        <v>18</v>
      </c>
      <c r="W7" s="59">
        <f t="shared" si="0"/>
        <v>18</v>
      </c>
      <c r="X7" s="59">
        <f t="shared" si="0"/>
        <v>18</v>
      </c>
      <c r="Y7" s="59">
        <f t="shared" si="0"/>
        <v>18</v>
      </c>
      <c r="Z7" s="59">
        <f t="shared" si="0"/>
        <v>18</v>
      </c>
      <c r="AA7" s="59">
        <f t="shared" si="0"/>
        <v>18</v>
      </c>
      <c r="AB7" s="59">
        <f t="shared" si="0"/>
        <v>18</v>
      </c>
    </row>
    <row r="9" spans="2:28" ht="16.5" thickBot="1" x14ac:dyDescent="0.3">
      <c r="B9" s="48" t="s">
        <v>140</v>
      </c>
    </row>
    <row r="10" spans="2:28" x14ac:dyDescent="0.25">
      <c r="B10" s="192"/>
      <c r="C10" s="194" t="s">
        <v>136</v>
      </c>
      <c r="D10" s="194" t="s">
        <v>137</v>
      </c>
      <c r="E10" s="196" t="s">
        <v>138</v>
      </c>
      <c r="F10" s="5"/>
      <c r="G10" s="5"/>
      <c r="H10" s="5"/>
      <c r="I10" s="5"/>
    </row>
    <row r="11" spans="2:28" x14ac:dyDescent="0.25">
      <c r="B11" s="193"/>
      <c r="C11" s="195"/>
      <c r="D11" s="195"/>
      <c r="E11" s="197"/>
      <c r="F11" s="5"/>
      <c r="G11" s="5"/>
      <c r="H11" s="5"/>
      <c r="I11" s="5"/>
    </row>
    <row r="12" spans="2:28" ht="15.75" thickBot="1" x14ac:dyDescent="0.3">
      <c r="B12" s="46" t="s">
        <v>141</v>
      </c>
      <c r="C12" s="13">
        <v>10.210000000000001</v>
      </c>
      <c r="D12" s="13">
        <v>0.8</v>
      </c>
      <c r="E12" s="14">
        <v>0.26</v>
      </c>
    </row>
    <row r="13" spans="2:28" x14ac:dyDescent="0.25">
      <c r="B13" t="s">
        <v>256</v>
      </c>
    </row>
    <row r="14" spans="2:28" x14ac:dyDescent="0.25">
      <c r="B14" s="81" t="s">
        <v>196</v>
      </c>
    </row>
    <row r="15" spans="2:28" ht="15.75" thickBot="1" x14ac:dyDescent="0.3">
      <c r="B15" s="81"/>
    </row>
    <row r="16" spans="2:28" x14ac:dyDescent="0.25">
      <c r="B16" s="7" t="s">
        <v>161</v>
      </c>
      <c r="C16" s="34">
        <v>75000</v>
      </c>
    </row>
    <row r="17" spans="2:3" ht="15.75" thickBot="1" x14ac:dyDescent="0.3">
      <c r="B17" s="12" t="s">
        <v>151</v>
      </c>
      <c r="C17" s="14">
        <v>15.2</v>
      </c>
    </row>
    <row r="18" spans="2:3" x14ac:dyDescent="0.25">
      <c r="B18" s="16" t="s">
        <v>152</v>
      </c>
    </row>
    <row r="19" spans="2:3" x14ac:dyDescent="0.25">
      <c r="B19" s="16" t="s">
        <v>208</v>
      </c>
    </row>
    <row r="20" spans="2:3" x14ac:dyDescent="0.25">
      <c r="B20" s="16" t="s">
        <v>153</v>
      </c>
    </row>
    <row r="21" spans="2:3" x14ac:dyDescent="0.25">
      <c r="B21" s="16" t="s">
        <v>209</v>
      </c>
    </row>
    <row r="22" spans="2:3" ht="15.75" thickBot="1" x14ac:dyDescent="0.3">
      <c r="B22" s="16"/>
    </row>
    <row r="23" spans="2:3" ht="15.75" thickBot="1" x14ac:dyDescent="0.3">
      <c r="B23" s="17" t="s">
        <v>156</v>
      </c>
      <c r="C23" s="52">
        <v>0.85</v>
      </c>
    </row>
    <row r="24" spans="2:3" ht="15.75" thickBot="1" x14ac:dyDescent="0.3">
      <c r="B24" s="46" t="s">
        <v>162</v>
      </c>
      <c r="C24" s="69">
        <v>5.0999999999999997E-2</v>
      </c>
    </row>
    <row r="25" spans="2:3" ht="15.75" thickBot="1" x14ac:dyDescent="0.3">
      <c r="B25" s="12" t="s">
        <v>101</v>
      </c>
      <c r="C25" s="14">
        <v>0.746</v>
      </c>
    </row>
    <row r="26" spans="2:3" x14ac:dyDescent="0.25">
      <c r="B26" s="16" t="s">
        <v>210</v>
      </c>
    </row>
    <row r="27" spans="2:3" x14ac:dyDescent="0.25">
      <c r="B27" t="s">
        <v>147</v>
      </c>
    </row>
    <row r="28" spans="2:3" x14ac:dyDescent="0.25">
      <c r="B28" s="81" t="s">
        <v>181</v>
      </c>
    </row>
    <row r="29" spans="2:3" x14ac:dyDescent="0.25">
      <c r="B29" s="16" t="s">
        <v>155</v>
      </c>
    </row>
    <row r="30" spans="2:3" x14ac:dyDescent="0.25">
      <c r="B30" s="81" t="s">
        <v>180</v>
      </c>
    </row>
    <row r="31" spans="2:3" x14ac:dyDescent="0.25">
      <c r="B31" s="81"/>
    </row>
    <row r="32" spans="2:3" ht="15.75" thickBot="1" x14ac:dyDescent="0.3">
      <c r="B32" t="s">
        <v>213</v>
      </c>
    </row>
    <row r="33" spans="2:5" x14ac:dyDescent="0.25">
      <c r="B33" s="7" t="s">
        <v>216</v>
      </c>
      <c r="C33" s="32" t="s">
        <v>0</v>
      </c>
      <c r="D33" s="32" t="s">
        <v>2</v>
      </c>
      <c r="E33" s="33" t="s">
        <v>1</v>
      </c>
    </row>
    <row r="34" spans="2:5" x14ac:dyDescent="0.25">
      <c r="B34" s="10" t="s">
        <v>417</v>
      </c>
      <c r="C34" s="1">
        <v>497.4</v>
      </c>
      <c r="D34" s="1">
        <v>0.03</v>
      </c>
      <c r="E34" s="11">
        <v>4.0000000000000001E-3</v>
      </c>
    </row>
    <row r="35" spans="2:5" x14ac:dyDescent="0.25">
      <c r="B35" s="10" t="s">
        <v>418</v>
      </c>
      <c r="C35" s="22">
        <f>(332.7+342.6)/2</f>
        <v>337.65</v>
      </c>
      <c r="D35" s="1">
        <v>0.03</v>
      </c>
      <c r="E35" s="11">
        <v>4.0000000000000001E-3</v>
      </c>
    </row>
    <row r="36" spans="2:5" ht="15.75" thickBot="1" x14ac:dyDescent="0.3">
      <c r="B36" s="12" t="s">
        <v>423</v>
      </c>
      <c r="C36" s="13">
        <v>0</v>
      </c>
      <c r="D36" s="13">
        <v>0</v>
      </c>
      <c r="E36" s="14">
        <v>0</v>
      </c>
    </row>
    <row r="37" spans="2:5" x14ac:dyDescent="0.25">
      <c r="B37" t="s">
        <v>419</v>
      </c>
    </row>
    <row r="38" spans="2:5" x14ac:dyDescent="0.25">
      <c r="B38" t="s">
        <v>206</v>
      </c>
    </row>
    <row r="39" spans="2:5" x14ac:dyDescent="0.25">
      <c r="B39" s="84" t="s">
        <v>182</v>
      </c>
    </row>
    <row r="40" spans="2:5" x14ac:dyDescent="0.25">
      <c r="B40" s="16" t="s">
        <v>420</v>
      </c>
    </row>
    <row r="41" spans="2:5" x14ac:dyDescent="0.25">
      <c r="B41" s="16" t="s">
        <v>253</v>
      </c>
    </row>
    <row r="42" spans="2:5" ht="15.75" thickBot="1" x14ac:dyDescent="0.3"/>
    <row r="43" spans="2:5" x14ac:dyDescent="0.25">
      <c r="B43" s="83" t="s">
        <v>217</v>
      </c>
      <c r="C43" s="32" t="s">
        <v>0</v>
      </c>
      <c r="D43" s="32" t="s">
        <v>2</v>
      </c>
      <c r="E43" s="33" t="s">
        <v>1</v>
      </c>
    </row>
    <row r="44" spans="2:5" ht="15.75" thickBot="1" x14ac:dyDescent="0.3">
      <c r="B44" s="12" t="s">
        <v>421</v>
      </c>
      <c r="C44" s="13">
        <v>1</v>
      </c>
      <c r="D44" s="13">
        <v>28</v>
      </c>
      <c r="E44" s="14">
        <v>265</v>
      </c>
    </row>
    <row r="45" spans="2:5" x14ac:dyDescent="0.25">
      <c r="B45" s="16" t="s">
        <v>422</v>
      </c>
    </row>
    <row r="46" spans="2:5" x14ac:dyDescent="0.25">
      <c r="B46" s="16" t="s">
        <v>219</v>
      </c>
    </row>
    <row r="47" spans="2:5" x14ac:dyDescent="0.25">
      <c r="B47" s="81"/>
    </row>
    <row r="48" spans="2:5" ht="15.75" thickBot="1" x14ac:dyDescent="0.3"/>
    <row r="49" spans="2:5" x14ac:dyDescent="0.25">
      <c r="B49" s="7" t="s">
        <v>424</v>
      </c>
      <c r="C49" s="32" t="s">
        <v>102</v>
      </c>
      <c r="D49" s="32" t="s">
        <v>103</v>
      </c>
      <c r="E49" s="33" t="s">
        <v>104</v>
      </c>
    </row>
    <row r="50" spans="2:5" ht="15.75" thickBot="1" x14ac:dyDescent="0.3">
      <c r="B50" s="12" t="s">
        <v>154</v>
      </c>
      <c r="C50" s="13">
        <v>12.6</v>
      </c>
      <c r="D50" s="35">
        <f>E50*0.92</f>
        <v>0.40479999999999999</v>
      </c>
      <c r="E50" s="14">
        <v>0.44</v>
      </c>
    </row>
    <row r="51" spans="2:5" x14ac:dyDescent="0.25">
      <c r="B51" s="16" t="s">
        <v>425</v>
      </c>
      <c r="D51" s="40"/>
    </row>
    <row r="52" spans="2:5" x14ac:dyDescent="0.25">
      <c r="B52" t="s">
        <v>415</v>
      </c>
    </row>
    <row r="54" spans="2:5" ht="15.75" thickBot="1" x14ac:dyDescent="0.3"/>
    <row r="55" spans="2:5" x14ac:dyDescent="0.25">
      <c r="B55" s="83" t="s">
        <v>426</v>
      </c>
      <c r="C55" s="9">
        <v>18</v>
      </c>
    </row>
    <row r="56" spans="2:5" ht="15.75" thickBot="1" x14ac:dyDescent="0.3">
      <c r="B56" s="145" t="s">
        <v>394</v>
      </c>
      <c r="C56" s="14"/>
    </row>
    <row r="57" spans="2:5" x14ac:dyDescent="0.25">
      <c r="B57" s="16" t="s">
        <v>427</v>
      </c>
    </row>
    <row r="58" spans="2:5" x14ac:dyDescent="0.25">
      <c r="B58" s="81" t="s">
        <v>397</v>
      </c>
    </row>
    <row r="59" spans="2:5" ht="15.75" thickBot="1" x14ac:dyDescent="0.3">
      <c r="B59" s="81"/>
    </row>
    <row r="60" spans="2:5" ht="15.75" thickBot="1" x14ac:dyDescent="0.3">
      <c r="B60" s="17" t="s">
        <v>428</v>
      </c>
      <c r="C60" s="151">
        <v>129488</v>
      </c>
    </row>
    <row r="61" spans="2:5" x14ac:dyDescent="0.25">
      <c r="B61" s="16" t="s">
        <v>429</v>
      </c>
    </row>
    <row r="63" spans="2:5" ht="15.75" thickBot="1" x14ac:dyDescent="0.3"/>
    <row r="64" spans="2:5" ht="15.75" thickBot="1" x14ac:dyDescent="0.3">
      <c r="B64" s="49" t="s">
        <v>224</v>
      </c>
      <c r="C64" s="50">
        <v>20</v>
      </c>
    </row>
    <row r="65" spans="2:28" x14ac:dyDescent="0.25">
      <c r="B65" t="s">
        <v>315</v>
      </c>
    </row>
    <row r="69" spans="2:28" ht="16.5" thickBot="1" x14ac:dyDescent="0.3">
      <c r="B69" s="48" t="s">
        <v>142</v>
      </c>
    </row>
    <row r="70" spans="2:28" x14ac:dyDescent="0.25">
      <c r="B70" s="7"/>
      <c r="C70" s="8">
        <v>2025</v>
      </c>
      <c r="D70" s="8">
        <v>2026</v>
      </c>
      <c r="E70" s="8">
        <v>2027</v>
      </c>
      <c r="F70" s="8">
        <v>2028</v>
      </c>
      <c r="G70" s="8">
        <v>2029</v>
      </c>
      <c r="H70" s="8">
        <v>2030</v>
      </c>
      <c r="I70" s="8">
        <v>2031</v>
      </c>
      <c r="J70" s="8">
        <v>2032</v>
      </c>
      <c r="K70" s="8">
        <v>2033</v>
      </c>
      <c r="L70" s="8">
        <v>2034</v>
      </c>
      <c r="M70" s="8">
        <v>2035</v>
      </c>
      <c r="N70" s="8">
        <v>2036</v>
      </c>
      <c r="O70" s="8">
        <v>2037</v>
      </c>
      <c r="P70" s="8">
        <v>2038</v>
      </c>
      <c r="Q70" s="8">
        <v>2039</v>
      </c>
      <c r="R70" s="8">
        <v>2040</v>
      </c>
      <c r="S70" s="8">
        <v>2041</v>
      </c>
      <c r="T70" s="8">
        <v>2042</v>
      </c>
      <c r="U70" s="8">
        <v>2043</v>
      </c>
      <c r="V70" s="8">
        <v>2044</v>
      </c>
      <c r="W70" s="8">
        <v>2045</v>
      </c>
      <c r="X70" s="8">
        <v>2046</v>
      </c>
      <c r="Y70" s="8">
        <v>2047</v>
      </c>
      <c r="Z70" s="8">
        <v>2048</v>
      </c>
      <c r="AA70" s="8">
        <v>2049</v>
      </c>
      <c r="AB70" s="9">
        <v>2050</v>
      </c>
    </row>
    <row r="71" spans="2:28" x14ac:dyDescent="0.25">
      <c r="B71" s="10" t="s">
        <v>160</v>
      </c>
      <c r="C71" s="3">
        <f t="shared" ref="C71:AB71" si="1">C7*$C$16</f>
        <v>0</v>
      </c>
      <c r="D71" s="3">
        <f t="shared" si="1"/>
        <v>0</v>
      </c>
      <c r="E71" s="3">
        <f t="shared" si="1"/>
        <v>300000</v>
      </c>
      <c r="F71" s="3">
        <f t="shared" si="1"/>
        <v>1350000</v>
      </c>
      <c r="G71" s="3">
        <f t="shared" si="1"/>
        <v>1350000</v>
      </c>
      <c r="H71" s="3">
        <f t="shared" si="1"/>
        <v>1350000</v>
      </c>
      <c r="I71" s="3">
        <f t="shared" si="1"/>
        <v>1350000</v>
      </c>
      <c r="J71" s="3">
        <f t="shared" si="1"/>
        <v>1350000</v>
      </c>
      <c r="K71" s="3">
        <f t="shared" si="1"/>
        <v>1350000</v>
      </c>
      <c r="L71" s="3">
        <f t="shared" si="1"/>
        <v>1350000</v>
      </c>
      <c r="M71" s="3">
        <f t="shared" si="1"/>
        <v>1350000</v>
      </c>
      <c r="N71" s="3">
        <f t="shared" si="1"/>
        <v>1350000</v>
      </c>
      <c r="O71" s="3">
        <f t="shared" si="1"/>
        <v>1350000</v>
      </c>
      <c r="P71" s="3">
        <f t="shared" si="1"/>
        <v>1350000</v>
      </c>
      <c r="Q71" s="3">
        <f t="shared" si="1"/>
        <v>1350000</v>
      </c>
      <c r="R71" s="3">
        <f t="shared" si="1"/>
        <v>1350000</v>
      </c>
      <c r="S71" s="3">
        <f t="shared" si="1"/>
        <v>1350000</v>
      </c>
      <c r="T71" s="3">
        <f t="shared" si="1"/>
        <v>1350000</v>
      </c>
      <c r="U71" s="3">
        <f t="shared" si="1"/>
        <v>1350000</v>
      </c>
      <c r="V71" s="3">
        <f t="shared" si="1"/>
        <v>1350000</v>
      </c>
      <c r="W71" s="3">
        <f t="shared" si="1"/>
        <v>1350000</v>
      </c>
      <c r="X71" s="3">
        <f t="shared" si="1"/>
        <v>1350000</v>
      </c>
      <c r="Y71" s="3">
        <f t="shared" si="1"/>
        <v>1350000</v>
      </c>
      <c r="Z71" s="3">
        <f t="shared" si="1"/>
        <v>1350000</v>
      </c>
      <c r="AA71" s="3">
        <f t="shared" si="1"/>
        <v>1350000</v>
      </c>
      <c r="AB71" s="3">
        <f t="shared" si="1"/>
        <v>1350000</v>
      </c>
    </row>
    <row r="72" spans="2:28" x14ac:dyDescent="0.25">
      <c r="B72" s="10" t="s">
        <v>3</v>
      </c>
      <c r="C72" s="3">
        <f>C71*$C$12/1000</f>
        <v>0</v>
      </c>
      <c r="D72" s="3">
        <f t="shared" ref="D72:L72" si="2">D71*$C$12/1000</f>
        <v>0</v>
      </c>
      <c r="E72" s="3">
        <f t="shared" si="2"/>
        <v>3063.0000000000005</v>
      </c>
      <c r="F72" s="3">
        <f t="shared" si="2"/>
        <v>13783.500000000002</v>
      </c>
      <c r="G72" s="3">
        <f t="shared" si="2"/>
        <v>13783.500000000002</v>
      </c>
      <c r="H72" s="3">
        <f t="shared" si="2"/>
        <v>13783.500000000002</v>
      </c>
      <c r="I72" s="3">
        <f t="shared" si="2"/>
        <v>13783.500000000002</v>
      </c>
      <c r="J72" s="3">
        <f t="shared" si="2"/>
        <v>13783.500000000002</v>
      </c>
      <c r="K72" s="3">
        <f t="shared" si="2"/>
        <v>13783.500000000002</v>
      </c>
      <c r="L72" s="3">
        <f t="shared" si="2"/>
        <v>13783.500000000002</v>
      </c>
      <c r="M72" s="3">
        <f t="shared" ref="M72" si="3">M71*$C$12/1000</f>
        <v>13783.500000000002</v>
      </c>
      <c r="N72" s="3">
        <f t="shared" ref="N72" si="4">N71*$C$12/1000</f>
        <v>13783.500000000002</v>
      </c>
      <c r="O72" s="3">
        <f t="shared" ref="O72" si="5">O71*$C$12/1000</f>
        <v>13783.500000000002</v>
      </c>
      <c r="P72" s="3">
        <f t="shared" ref="P72" si="6">P71*$C$12/1000</f>
        <v>13783.500000000002</v>
      </c>
      <c r="Q72" s="3">
        <f t="shared" ref="Q72" si="7">Q71*$C$12/1000</f>
        <v>13783.500000000002</v>
      </c>
      <c r="R72" s="3">
        <f t="shared" ref="R72" si="8">R71*$C$12/1000</f>
        <v>13783.500000000002</v>
      </c>
      <c r="S72" s="3">
        <f t="shared" ref="S72" si="9">S71*$C$12/1000</f>
        <v>13783.500000000002</v>
      </c>
      <c r="T72" s="3">
        <f t="shared" ref="T72" si="10">T71*$C$12/1000</f>
        <v>13783.500000000002</v>
      </c>
      <c r="U72" s="3">
        <f t="shared" ref="U72" si="11">U71*$C$12/1000</f>
        <v>13783.500000000002</v>
      </c>
      <c r="V72" s="3">
        <f t="shared" ref="V72" si="12">V71*$C$12/1000</f>
        <v>13783.500000000002</v>
      </c>
      <c r="W72" s="3">
        <f t="shared" ref="W72" si="13">W71*$C$12/1000</f>
        <v>13783.500000000002</v>
      </c>
      <c r="X72" s="3">
        <f t="shared" ref="X72" si="14">X71*$C$12/1000</f>
        <v>13783.500000000002</v>
      </c>
      <c r="Y72" s="3">
        <f t="shared" ref="Y72" si="15">Y71*$C$12/1000</f>
        <v>13783.500000000002</v>
      </c>
      <c r="Z72" s="3">
        <f t="shared" ref="Z72" si="16">Z71*$C$12/1000</f>
        <v>13783.500000000002</v>
      </c>
      <c r="AA72" s="3">
        <f t="shared" ref="AA72" si="17">AA71*$C$12/1000</f>
        <v>13783.500000000002</v>
      </c>
      <c r="AB72" s="28">
        <f t="shared" ref="AB72" si="18">AB71*$C$12/1000</f>
        <v>13783.500000000002</v>
      </c>
    </row>
    <row r="73" spans="2:28" x14ac:dyDescent="0.25">
      <c r="B73" s="10" t="s">
        <v>5</v>
      </c>
      <c r="C73" s="3">
        <f>C71*$D$12/1000000</f>
        <v>0</v>
      </c>
      <c r="D73" s="3">
        <f t="shared" ref="D73:AB73" si="19">D71*$D$12/1000000</f>
        <v>0</v>
      </c>
      <c r="E73" s="20">
        <f t="shared" si="19"/>
        <v>0.24</v>
      </c>
      <c r="F73" s="20">
        <f t="shared" si="19"/>
        <v>1.08</v>
      </c>
      <c r="G73" s="20">
        <f t="shared" si="19"/>
        <v>1.08</v>
      </c>
      <c r="H73" s="20">
        <f t="shared" si="19"/>
        <v>1.08</v>
      </c>
      <c r="I73" s="20">
        <f t="shared" si="19"/>
        <v>1.08</v>
      </c>
      <c r="J73" s="20">
        <f t="shared" si="19"/>
        <v>1.08</v>
      </c>
      <c r="K73" s="20">
        <f t="shared" si="19"/>
        <v>1.08</v>
      </c>
      <c r="L73" s="20">
        <f t="shared" si="19"/>
        <v>1.08</v>
      </c>
      <c r="M73" s="20">
        <f t="shared" si="19"/>
        <v>1.08</v>
      </c>
      <c r="N73" s="20">
        <f t="shared" si="19"/>
        <v>1.08</v>
      </c>
      <c r="O73" s="20">
        <f t="shared" si="19"/>
        <v>1.08</v>
      </c>
      <c r="P73" s="20">
        <f t="shared" si="19"/>
        <v>1.08</v>
      </c>
      <c r="Q73" s="20">
        <f t="shared" si="19"/>
        <v>1.08</v>
      </c>
      <c r="R73" s="20">
        <f t="shared" si="19"/>
        <v>1.08</v>
      </c>
      <c r="S73" s="20">
        <f t="shared" si="19"/>
        <v>1.08</v>
      </c>
      <c r="T73" s="20">
        <f t="shared" si="19"/>
        <v>1.08</v>
      </c>
      <c r="U73" s="20">
        <f t="shared" si="19"/>
        <v>1.08</v>
      </c>
      <c r="V73" s="20">
        <f t="shared" si="19"/>
        <v>1.08</v>
      </c>
      <c r="W73" s="20">
        <f t="shared" si="19"/>
        <v>1.08</v>
      </c>
      <c r="X73" s="20">
        <f t="shared" si="19"/>
        <v>1.08</v>
      </c>
      <c r="Y73" s="20">
        <f t="shared" si="19"/>
        <v>1.08</v>
      </c>
      <c r="Z73" s="20">
        <f t="shared" si="19"/>
        <v>1.08</v>
      </c>
      <c r="AA73" s="20">
        <f t="shared" si="19"/>
        <v>1.08</v>
      </c>
      <c r="AB73" s="51">
        <f t="shared" si="19"/>
        <v>1.08</v>
      </c>
    </row>
    <row r="74" spans="2:28" x14ac:dyDescent="0.25">
      <c r="B74" s="10" t="s">
        <v>4</v>
      </c>
      <c r="C74" s="3">
        <f>C71*$E$12/1000000</f>
        <v>0</v>
      </c>
      <c r="D74" s="3">
        <f t="shared" ref="D74:AB74" si="20">D71*$E$12/1000000</f>
        <v>0</v>
      </c>
      <c r="E74" s="20">
        <f t="shared" si="20"/>
        <v>7.8E-2</v>
      </c>
      <c r="F74" s="20">
        <f t="shared" si="20"/>
        <v>0.35099999999999998</v>
      </c>
      <c r="G74" s="20">
        <f t="shared" si="20"/>
        <v>0.35099999999999998</v>
      </c>
      <c r="H74" s="20">
        <f t="shared" si="20"/>
        <v>0.35099999999999998</v>
      </c>
      <c r="I74" s="20">
        <f t="shared" si="20"/>
        <v>0.35099999999999998</v>
      </c>
      <c r="J74" s="20">
        <f t="shared" si="20"/>
        <v>0.35099999999999998</v>
      </c>
      <c r="K74" s="20">
        <f t="shared" si="20"/>
        <v>0.35099999999999998</v>
      </c>
      <c r="L74" s="20">
        <f t="shared" si="20"/>
        <v>0.35099999999999998</v>
      </c>
      <c r="M74" s="20">
        <f t="shared" si="20"/>
        <v>0.35099999999999998</v>
      </c>
      <c r="N74" s="20">
        <f t="shared" si="20"/>
        <v>0.35099999999999998</v>
      </c>
      <c r="O74" s="20">
        <f t="shared" si="20"/>
        <v>0.35099999999999998</v>
      </c>
      <c r="P74" s="20">
        <f t="shared" si="20"/>
        <v>0.35099999999999998</v>
      </c>
      <c r="Q74" s="20">
        <f t="shared" si="20"/>
        <v>0.35099999999999998</v>
      </c>
      <c r="R74" s="20">
        <f t="shared" si="20"/>
        <v>0.35099999999999998</v>
      </c>
      <c r="S74" s="20">
        <f t="shared" si="20"/>
        <v>0.35099999999999998</v>
      </c>
      <c r="T74" s="20">
        <f t="shared" si="20"/>
        <v>0.35099999999999998</v>
      </c>
      <c r="U74" s="20">
        <f t="shared" si="20"/>
        <v>0.35099999999999998</v>
      </c>
      <c r="V74" s="20">
        <f t="shared" si="20"/>
        <v>0.35099999999999998</v>
      </c>
      <c r="W74" s="20">
        <f t="shared" si="20"/>
        <v>0.35099999999999998</v>
      </c>
      <c r="X74" s="20">
        <f t="shared" si="20"/>
        <v>0.35099999999999998</v>
      </c>
      <c r="Y74" s="20">
        <f t="shared" si="20"/>
        <v>0.35099999999999998</v>
      </c>
      <c r="Z74" s="20">
        <f t="shared" si="20"/>
        <v>0.35099999999999998</v>
      </c>
      <c r="AA74" s="20">
        <f t="shared" si="20"/>
        <v>0.35099999999999998</v>
      </c>
      <c r="AB74" s="51">
        <f t="shared" si="20"/>
        <v>0.35099999999999998</v>
      </c>
    </row>
    <row r="75" spans="2:28" x14ac:dyDescent="0.25">
      <c r="B75" s="10" t="s">
        <v>6</v>
      </c>
      <c r="C75" s="3">
        <f>C72+C73*$D$44+C74*$E$44</f>
        <v>0</v>
      </c>
      <c r="D75" s="3">
        <f t="shared" ref="D75:AB75" si="21">D72+D73*$D$44+D74*$E$44</f>
        <v>0</v>
      </c>
      <c r="E75" s="3">
        <f t="shared" si="21"/>
        <v>3090.3900000000003</v>
      </c>
      <c r="F75" s="3">
        <f t="shared" si="21"/>
        <v>13906.755000000001</v>
      </c>
      <c r="G75" s="3">
        <f t="shared" si="21"/>
        <v>13906.755000000001</v>
      </c>
      <c r="H75" s="3">
        <f t="shared" si="21"/>
        <v>13906.755000000001</v>
      </c>
      <c r="I75" s="3">
        <f t="shared" si="21"/>
        <v>13906.755000000001</v>
      </c>
      <c r="J75" s="3">
        <f t="shared" si="21"/>
        <v>13906.755000000001</v>
      </c>
      <c r="K75" s="3">
        <f t="shared" si="21"/>
        <v>13906.755000000001</v>
      </c>
      <c r="L75" s="3">
        <f t="shared" si="21"/>
        <v>13906.755000000001</v>
      </c>
      <c r="M75" s="3">
        <f t="shared" si="21"/>
        <v>13906.755000000001</v>
      </c>
      <c r="N75" s="3">
        <f t="shared" si="21"/>
        <v>13906.755000000001</v>
      </c>
      <c r="O75" s="3">
        <f t="shared" si="21"/>
        <v>13906.755000000001</v>
      </c>
      <c r="P75" s="3">
        <f t="shared" si="21"/>
        <v>13906.755000000001</v>
      </c>
      <c r="Q75" s="3">
        <f t="shared" si="21"/>
        <v>13906.755000000001</v>
      </c>
      <c r="R75" s="3">
        <f t="shared" si="21"/>
        <v>13906.755000000001</v>
      </c>
      <c r="S75" s="3">
        <f t="shared" si="21"/>
        <v>13906.755000000001</v>
      </c>
      <c r="T75" s="3">
        <f t="shared" si="21"/>
        <v>13906.755000000001</v>
      </c>
      <c r="U75" s="3">
        <f t="shared" si="21"/>
        <v>13906.755000000001</v>
      </c>
      <c r="V75" s="3">
        <f t="shared" si="21"/>
        <v>13906.755000000001</v>
      </c>
      <c r="W75" s="3">
        <f t="shared" si="21"/>
        <v>13906.755000000001</v>
      </c>
      <c r="X75" s="3">
        <f t="shared" si="21"/>
        <v>13906.755000000001</v>
      </c>
      <c r="Y75" s="3">
        <f t="shared" si="21"/>
        <v>13906.755000000001</v>
      </c>
      <c r="Z75" s="3">
        <f t="shared" si="21"/>
        <v>13906.755000000001</v>
      </c>
      <c r="AA75" s="3">
        <f t="shared" si="21"/>
        <v>13906.755000000001</v>
      </c>
      <c r="AB75" s="28">
        <f t="shared" si="21"/>
        <v>13906.755000000001</v>
      </c>
    </row>
    <row r="76" spans="2:28" x14ac:dyDescent="0.25">
      <c r="B76" s="10" t="s">
        <v>7</v>
      </c>
      <c r="C76" s="3">
        <f>C75</f>
        <v>0</v>
      </c>
      <c r="D76" s="3">
        <f t="shared" ref="D76:AB76" si="22">C76+D75</f>
        <v>0</v>
      </c>
      <c r="E76" s="3">
        <f t="shared" si="22"/>
        <v>3090.3900000000003</v>
      </c>
      <c r="F76" s="3">
        <f t="shared" si="22"/>
        <v>16997.145</v>
      </c>
      <c r="G76" s="3">
        <f t="shared" si="22"/>
        <v>30903.9</v>
      </c>
      <c r="H76" s="3">
        <f t="shared" si="22"/>
        <v>44810.654999999999</v>
      </c>
      <c r="I76" s="3">
        <f t="shared" si="22"/>
        <v>58717.41</v>
      </c>
      <c r="J76" s="3">
        <f t="shared" si="22"/>
        <v>72624.165000000008</v>
      </c>
      <c r="K76" s="3">
        <f t="shared" si="22"/>
        <v>86530.920000000013</v>
      </c>
      <c r="L76" s="3">
        <f t="shared" si="22"/>
        <v>100437.67500000002</v>
      </c>
      <c r="M76" s="3">
        <f t="shared" si="22"/>
        <v>114344.43000000002</v>
      </c>
      <c r="N76" s="3">
        <f t="shared" si="22"/>
        <v>128251.18500000003</v>
      </c>
      <c r="O76" s="3">
        <f t="shared" si="22"/>
        <v>142157.94000000003</v>
      </c>
      <c r="P76" s="3">
        <f t="shared" si="22"/>
        <v>156064.69500000004</v>
      </c>
      <c r="Q76" s="3">
        <f t="shared" si="22"/>
        <v>169971.45000000004</v>
      </c>
      <c r="R76" s="3">
        <f t="shared" si="22"/>
        <v>183878.20500000005</v>
      </c>
      <c r="S76" s="3">
        <f t="shared" si="22"/>
        <v>197784.96000000005</v>
      </c>
      <c r="T76" s="3">
        <f t="shared" si="22"/>
        <v>211691.71500000005</v>
      </c>
      <c r="U76" s="3">
        <f t="shared" si="22"/>
        <v>225598.47000000006</v>
      </c>
      <c r="V76" s="3">
        <f t="shared" si="22"/>
        <v>239505.22500000006</v>
      </c>
      <c r="W76" s="3">
        <f t="shared" si="22"/>
        <v>253411.98000000007</v>
      </c>
      <c r="X76" s="3">
        <f t="shared" si="22"/>
        <v>267318.73500000004</v>
      </c>
      <c r="Y76" s="3">
        <f t="shared" si="22"/>
        <v>281225.49000000005</v>
      </c>
      <c r="Z76" s="3">
        <f t="shared" si="22"/>
        <v>295132.24500000005</v>
      </c>
      <c r="AA76" s="3">
        <f t="shared" si="22"/>
        <v>309039.00000000006</v>
      </c>
      <c r="AB76" s="28">
        <f t="shared" si="22"/>
        <v>322945.75500000006</v>
      </c>
    </row>
    <row r="77" spans="2:28" ht="15.75" thickBot="1" x14ac:dyDescent="0.3">
      <c r="B77" s="12" t="s">
        <v>146</v>
      </c>
      <c r="C77" s="29">
        <f ca="1">IF((C70-$C70)&lt;$C$64,SUM($C75:C75),SUM(OFFSET(C75,0,-($C$64-1)):C75))</f>
        <v>0</v>
      </c>
      <c r="D77" s="29">
        <f ca="1">IF((D70-$C70)&lt;$C$64,SUM($C75:D75),SUM(OFFSET(D75,0,-($C$64-1)):D75))</f>
        <v>0</v>
      </c>
      <c r="E77" s="29">
        <f ca="1">IF((E70-$C70)&lt;$C$64,SUM($C75:E75),SUM(OFFSET(E75,0,-($C$64-1)):E75))</f>
        <v>3090.3900000000003</v>
      </c>
      <c r="F77" s="29">
        <f ca="1">IF((F70-$C70)&lt;$C$64,SUM($C75:F75),SUM(OFFSET(F75,0,-($C$64-1)):F75))</f>
        <v>16997.145</v>
      </c>
      <c r="G77" s="29">
        <f ca="1">IF((G70-$C70)&lt;$C$64,SUM($C75:G75),SUM(OFFSET(G75,0,-($C$64-1)):G75))</f>
        <v>30903.9</v>
      </c>
      <c r="H77" s="29">
        <f ca="1">IF((H70-$C70)&lt;$C$64,SUM($C75:H75),SUM(OFFSET(H75,0,-($C$64-1)):H75))</f>
        <v>44810.654999999999</v>
      </c>
      <c r="I77" s="29">
        <f ca="1">IF((I70-$C70)&lt;$C$64,SUM($C75:I75),SUM(OFFSET(I75,0,-($C$64-1)):I75))</f>
        <v>58717.41</v>
      </c>
      <c r="J77" s="29">
        <f ca="1">IF((J70-$C70)&lt;$C$64,SUM($C75:J75),SUM(OFFSET(J75,0,-($C$64-1)):J75))</f>
        <v>72624.165000000008</v>
      </c>
      <c r="K77" s="29">
        <f ca="1">IF((K70-$C70)&lt;$C$64,SUM($C75:K75),SUM(OFFSET(K75,0,-($C$64-1)):K75))</f>
        <v>86530.920000000013</v>
      </c>
      <c r="L77" s="29">
        <f ca="1">IF((L70-$C70)&lt;$C$64,SUM($C75:L75),SUM(OFFSET(L75,0,-($C$64-1)):L75))</f>
        <v>100437.67500000002</v>
      </c>
      <c r="M77" s="29">
        <f ca="1">IF((M70-$C70)&lt;$C$64,SUM($C75:M75),SUM(OFFSET(M75,0,-($C$64-1)):M75))</f>
        <v>114344.43000000002</v>
      </c>
      <c r="N77" s="29">
        <f ca="1">IF((N70-$C70)&lt;$C$64,SUM($C75:N75),SUM(OFFSET(N75,0,-($C$64-1)):N75))</f>
        <v>128251.18500000003</v>
      </c>
      <c r="O77" s="29">
        <f ca="1">IF((O70-$C70)&lt;$C$64,SUM($C75:O75),SUM(OFFSET(O75,0,-($C$64-1)):O75))</f>
        <v>142157.94000000003</v>
      </c>
      <c r="P77" s="29">
        <f ca="1">IF((P70-$C70)&lt;$C$64,SUM($C75:P75),SUM(OFFSET(P75,0,-($C$64-1)):P75))</f>
        <v>156064.69500000004</v>
      </c>
      <c r="Q77" s="29">
        <f ca="1">IF((Q70-$C70)&lt;$C$64,SUM($C75:Q75),SUM(OFFSET(Q75,0,-($C$64-1)):Q75))</f>
        <v>169971.45000000004</v>
      </c>
      <c r="R77" s="29">
        <f ca="1">IF((R70-$C70)&lt;$C$64,SUM($C75:R75),SUM(OFFSET(R75,0,-($C$64-1)):R75))</f>
        <v>183878.20500000005</v>
      </c>
      <c r="S77" s="29">
        <f ca="1">IF((S70-$C70)&lt;$C$64,SUM($C75:S75),SUM(OFFSET(S75,0,-($C$64-1)):S75))</f>
        <v>197784.96000000005</v>
      </c>
      <c r="T77" s="29">
        <f ca="1">IF((T70-$C70)&lt;$C$64,SUM($C75:T75),SUM(OFFSET(T75,0,-($C$64-1)):T75))</f>
        <v>211691.71500000005</v>
      </c>
      <c r="U77" s="29">
        <f ca="1">IF((U70-$C70)&lt;$C$64,SUM($C75:U75),SUM(OFFSET(U75,0,-($C$64-1)):U75))</f>
        <v>225598.47000000006</v>
      </c>
      <c r="V77" s="29">
        <f ca="1">IF((V70-$C70)&lt;$C$64,SUM($C75:V75),SUM(OFFSET(V75,0,-($C$64-1)):V75))</f>
        <v>239505.22500000006</v>
      </c>
      <c r="W77" s="29">
        <f ca="1">IF((W70-$C70)&lt;$C$64,SUM($C75:W75),SUM(OFFSET(W75,0,-($C$64-1)):W75))</f>
        <v>253411.98000000007</v>
      </c>
      <c r="X77" s="29">
        <f ca="1">IF((X70-$C70)&lt;$C$64,SUM($C75:X75),SUM(OFFSET(X75,0,-($C$64-1)):X75))</f>
        <v>267318.73500000004</v>
      </c>
      <c r="Y77" s="29">
        <f ca="1">IF((Y70-$C70)&lt;$C$64,SUM($C75:Y75),SUM(OFFSET(Y75,0,-($C$64-1)):Y75))</f>
        <v>278135.10000000003</v>
      </c>
      <c r="Z77" s="29">
        <f ca="1">IF((Z70-$C70)&lt;$C$64,SUM($C75:Z75),SUM(OFFSET(Z75,0,-($C$64-1)):Z75))</f>
        <v>278135.10000000003</v>
      </c>
      <c r="AA77" s="29">
        <f ca="1">IF((AA70-$C70)&lt;$C$64,SUM($C75:AA75),SUM(OFFSET(AA75,0,-($C$64-1)):AA75))</f>
        <v>278135.10000000003</v>
      </c>
      <c r="AB77" s="30">
        <f ca="1">IF((AB70-$C70)&lt;$C$64,SUM($C75:AB75),SUM(OFFSET(AB75,0,-($C$64-1)):AB75))</f>
        <v>278135.10000000003</v>
      </c>
    </row>
    <row r="78" spans="2:28" x14ac:dyDescent="0.25">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2:28" x14ac:dyDescent="0.25">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2:28" ht="16.5" thickBot="1" x14ac:dyDescent="0.3">
      <c r="B80" s="48" t="s">
        <v>398</v>
      </c>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2:28" x14ac:dyDescent="0.25">
      <c r="B81" s="7"/>
      <c r="C81" s="8">
        <v>2025</v>
      </c>
      <c r="D81" s="8">
        <v>2026</v>
      </c>
      <c r="E81" s="8">
        <v>2027</v>
      </c>
      <c r="F81" s="8">
        <v>2028</v>
      </c>
      <c r="G81" s="8">
        <v>2029</v>
      </c>
      <c r="H81" s="8">
        <v>2030</v>
      </c>
      <c r="I81" s="8">
        <v>2031</v>
      </c>
      <c r="J81" s="8">
        <v>2032</v>
      </c>
      <c r="K81" s="8">
        <v>2033</v>
      </c>
      <c r="L81" s="8">
        <v>2034</v>
      </c>
      <c r="M81" s="8">
        <v>2035</v>
      </c>
      <c r="N81" s="8">
        <v>2036</v>
      </c>
      <c r="O81" s="8">
        <v>2037</v>
      </c>
      <c r="P81" s="8">
        <v>2038</v>
      </c>
      <c r="Q81" s="8">
        <v>2039</v>
      </c>
      <c r="R81" s="8">
        <v>2040</v>
      </c>
      <c r="S81" s="8">
        <v>2041</v>
      </c>
      <c r="T81" s="8">
        <v>2042</v>
      </c>
      <c r="U81" s="8">
        <v>2043</v>
      </c>
      <c r="V81" s="8">
        <v>2044</v>
      </c>
      <c r="W81" s="8">
        <v>2045</v>
      </c>
      <c r="X81" s="8">
        <v>2046</v>
      </c>
      <c r="Y81" s="8">
        <v>2047</v>
      </c>
      <c r="Z81" s="8">
        <v>2048</v>
      </c>
      <c r="AA81" s="8">
        <v>2049</v>
      </c>
      <c r="AB81" s="9">
        <v>2050</v>
      </c>
    </row>
    <row r="82" spans="2:28" x14ac:dyDescent="0.25">
      <c r="B82" s="10" t="s">
        <v>6</v>
      </c>
      <c r="C82" s="3">
        <f>C7*$C$16*$C$60*$C$55/1000000/1000</f>
        <v>0</v>
      </c>
      <c r="D82" s="3">
        <f t="shared" ref="D82:AB82" si="23">D7*$C$16*$C$60*$C$55/1000000/1000</f>
        <v>0</v>
      </c>
      <c r="E82" s="3">
        <f t="shared" si="23"/>
        <v>699.23519999999996</v>
      </c>
      <c r="F82" s="3">
        <f t="shared" si="23"/>
        <v>3146.5583999999999</v>
      </c>
      <c r="G82" s="3">
        <f t="shared" si="23"/>
        <v>3146.5583999999999</v>
      </c>
      <c r="H82" s="3">
        <f t="shared" si="23"/>
        <v>3146.5583999999999</v>
      </c>
      <c r="I82" s="3">
        <f t="shared" si="23"/>
        <v>3146.5583999999999</v>
      </c>
      <c r="J82" s="3">
        <f t="shared" si="23"/>
        <v>3146.5583999999999</v>
      </c>
      <c r="K82" s="3">
        <f t="shared" si="23"/>
        <v>3146.5583999999999</v>
      </c>
      <c r="L82" s="3">
        <f t="shared" si="23"/>
        <v>3146.5583999999999</v>
      </c>
      <c r="M82" s="3">
        <f t="shared" si="23"/>
        <v>3146.5583999999999</v>
      </c>
      <c r="N82" s="3">
        <f t="shared" si="23"/>
        <v>3146.5583999999999</v>
      </c>
      <c r="O82" s="3">
        <f t="shared" si="23"/>
        <v>3146.5583999999999</v>
      </c>
      <c r="P82" s="3">
        <f t="shared" si="23"/>
        <v>3146.5583999999999</v>
      </c>
      <c r="Q82" s="3">
        <f t="shared" si="23"/>
        <v>3146.5583999999999</v>
      </c>
      <c r="R82" s="3">
        <f t="shared" si="23"/>
        <v>3146.5583999999999</v>
      </c>
      <c r="S82" s="3">
        <f t="shared" si="23"/>
        <v>3146.5583999999999</v>
      </c>
      <c r="T82" s="3">
        <f t="shared" si="23"/>
        <v>3146.5583999999999</v>
      </c>
      <c r="U82" s="3">
        <f t="shared" si="23"/>
        <v>3146.5583999999999</v>
      </c>
      <c r="V82" s="3">
        <f t="shared" si="23"/>
        <v>3146.5583999999999</v>
      </c>
      <c r="W82" s="3">
        <f t="shared" si="23"/>
        <v>3146.5583999999999</v>
      </c>
      <c r="X82" s="3">
        <f t="shared" si="23"/>
        <v>3146.5583999999999</v>
      </c>
      <c r="Y82" s="3">
        <f t="shared" si="23"/>
        <v>3146.5583999999999</v>
      </c>
      <c r="Z82" s="3">
        <f t="shared" si="23"/>
        <v>3146.5583999999999</v>
      </c>
      <c r="AA82" s="3">
        <f t="shared" si="23"/>
        <v>3146.5583999999999</v>
      </c>
      <c r="AB82" s="3">
        <f t="shared" si="23"/>
        <v>3146.5583999999999</v>
      </c>
    </row>
    <row r="83" spans="2:28" x14ac:dyDescent="0.25">
      <c r="B83" s="10" t="s">
        <v>7</v>
      </c>
      <c r="C83" s="3">
        <f>C82</f>
        <v>0</v>
      </c>
      <c r="D83" s="3">
        <f>C83+D82</f>
        <v>0</v>
      </c>
      <c r="E83" s="3">
        <f t="shared" ref="E83:AB83" si="24">D83+E82</f>
        <v>699.23519999999996</v>
      </c>
      <c r="F83" s="3">
        <f t="shared" si="24"/>
        <v>3845.7936</v>
      </c>
      <c r="G83" s="3">
        <f t="shared" si="24"/>
        <v>6992.3519999999999</v>
      </c>
      <c r="H83" s="3">
        <f t="shared" si="24"/>
        <v>10138.910400000001</v>
      </c>
      <c r="I83" s="3">
        <f t="shared" si="24"/>
        <v>13285.468800000001</v>
      </c>
      <c r="J83" s="3">
        <f t="shared" si="24"/>
        <v>16432.0272</v>
      </c>
      <c r="K83" s="3">
        <f t="shared" si="24"/>
        <v>19578.585599999999</v>
      </c>
      <c r="L83" s="3">
        <f t="shared" si="24"/>
        <v>22725.144</v>
      </c>
      <c r="M83" s="3">
        <f t="shared" si="24"/>
        <v>25871.702400000002</v>
      </c>
      <c r="N83" s="3">
        <f t="shared" si="24"/>
        <v>29018.260800000004</v>
      </c>
      <c r="O83" s="3">
        <f t="shared" si="24"/>
        <v>32164.819200000005</v>
      </c>
      <c r="P83" s="3">
        <f t="shared" si="24"/>
        <v>35311.377600000007</v>
      </c>
      <c r="Q83" s="3">
        <f t="shared" si="24"/>
        <v>38457.936000000009</v>
      </c>
      <c r="R83" s="3">
        <f t="shared" si="24"/>
        <v>41604.494400000011</v>
      </c>
      <c r="S83" s="3">
        <f t="shared" si="24"/>
        <v>44751.052800000012</v>
      </c>
      <c r="T83" s="3">
        <f t="shared" si="24"/>
        <v>47897.611200000014</v>
      </c>
      <c r="U83" s="3">
        <f t="shared" si="24"/>
        <v>51044.169600000016</v>
      </c>
      <c r="V83" s="3">
        <f t="shared" si="24"/>
        <v>54190.728000000017</v>
      </c>
      <c r="W83" s="3">
        <f t="shared" si="24"/>
        <v>57337.286400000019</v>
      </c>
      <c r="X83" s="3">
        <f t="shared" si="24"/>
        <v>60483.844800000021</v>
      </c>
      <c r="Y83" s="3">
        <f t="shared" si="24"/>
        <v>63630.403200000022</v>
      </c>
      <c r="Z83" s="3">
        <f t="shared" si="24"/>
        <v>66776.961600000024</v>
      </c>
      <c r="AA83" s="3">
        <f t="shared" si="24"/>
        <v>69923.520000000019</v>
      </c>
      <c r="AB83" s="28">
        <f t="shared" si="24"/>
        <v>73070.078400000013</v>
      </c>
    </row>
    <row r="84" spans="2:28" ht="15.75" thickBot="1" x14ac:dyDescent="0.3">
      <c r="B84" s="12" t="s">
        <v>146</v>
      </c>
      <c r="C84" s="29">
        <f ca="1">IF((C81-$C81)&lt;$C$64,SUM($C82:C82),SUM(OFFSET(C82,0,-($C64-1)):C82))</f>
        <v>0</v>
      </c>
      <c r="D84" s="29">
        <f ca="1">IF((D81-$C81)&lt;$C$64,SUM($C82:D82),SUM(OFFSET(D82,0,-($C64-1)):D82))</f>
        <v>0</v>
      </c>
      <c r="E84" s="29">
        <f ca="1">IF((E81-$C81)&lt;$C$64,SUM($C82:E82),SUM(OFFSET(E82,0,-($C64-1)):E82))</f>
        <v>699.23519999999996</v>
      </c>
      <c r="F84" s="29">
        <f ca="1">IF((F81-$C81)&lt;$C$64,SUM($C82:F82),SUM(OFFSET(F82,0,-($C64-1)):F82))</f>
        <v>3845.7936</v>
      </c>
      <c r="G84" s="29">
        <f ca="1">IF((G81-$C81)&lt;$C$64,SUM($C82:G82),SUM(OFFSET(G82,0,-($C64-1)):G82))</f>
        <v>6992.3519999999999</v>
      </c>
      <c r="H84" s="29">
        <f ca="1">IF((H81-$C81)&lt;$C$64,SUM($C82:H82),SUM(OFFSET(H82,0,-($C64-1)):H82))</f>
        <v>10138.910400000001</v>
      </c>
      <c r="I84" s="29">
        <f ca="1">IF((I81-$C81)&lt;$C$64,SUM($C82:I82),SUM(OFFSET(I82,0,-($C64-1)):I82))</f>
        <v>13285.468800000001</v>
      </c>
      <c r="J84" s="29">
        <f ca="1">IF((J81-$C81)&lt;$C$64,SUM($C82:J82),SUM(OFFSET(J82,0,-($C64-1)):J82))</f>
        <v>16432.0272</v>
      </c>
      <c r="K84" s="29">
        <f ca="1">IF((K81-$C81)&lt;$C$64,SUM($C82:K82),SUM(OFFSET(K82,0,-($C64-1)):K82))</f>
        <v>19578.585599999999</v>
      </c>
      <c r="L84" s="29">
        <f ca="1">IF((L81-$C81)&lt;$C$64,SUM($C82:L82),SUM(OFFSET(L82,0,-($C64-1)):L82))</f>
        <v>22725.144</v>
      </c>
      <c r="M84" s="29">
        <f ca="1">IF((M81-$C81)&lt;$C$64,SUM($C82:M82),SUM(OFFSET(M82,0,-($C64-1)):M82))</f>
        <v>25871.702400000002</v>
      </c>
      <c r="N84" s="29">
        <f ca="1">IF((N81-$C81)&lt;$C$64,SUM($C82:N82),SUM(OFFSET(N82,0,-($C64-1)):N82))</f>
        <v>29018.260800000004</v>
      </c>
      <c r="O84" s="29">
        <f ca="1">IF((O81-$C81)&lt;$C$64,SUM($C82:O82),SUM(OFFSET(O82,0,-($C64-1)):O82))</f>
        <v>32164.819200000005</v>
      </c>
      <c r="P84" s="29">
        <f ca="1">IF((P81-$C81)&lt;$C$64,SUM($C82:P82),SUM(OFFSET(P82,0,-($C64-1)):P82))</f>
        <v>35311.377600000007</v>
      </c>
      <c r="Q84" s="29">
        <f ca="1">IF((Q81-$C81)&lt;$C$64,SUM($C82:Q82),SUM(OFFSET(Q82,0,-($C64-1)):Q82))</f>
        <v>38457.936000000009</v>
      </c>
      <c r="R84" s="29">
        <f ca="1">IF((R81-$C81)&lt;$C$64,SUM($C82:R82),SUM(OFFSET(R82,0,-($C64-1)):R82))</f>
        <v>41604.494400000011</v>
      </c>
      <c r="S84" s="29">
        <f ca="1">IF((S81-$C81)&lt;$C$64,SUM($C82:S82),SUM(OFFSET(S82,0,-($C64-1)):S82))</f>
        <v>44751.052800000012</v>
      </c>
      <c r="T84" s="29">
        <f ca="1">IF((T81-$C81)&lt;$C$64,SUM($C82:T82),SUM(OFFSET(T82,0,-($C64-1)):T82))</f>
        <v>47897.611200000014</v>
      </c>
      <c r="U84" s="29">
        <f ca="1">IF((U81-$C81)&lt;$C$64,SUM($C82:U82),SUM(OFFSET(U82,0,-($C64-1)):U82))</f>
        <v>51044.169600000016</v>
      </c>
      <c r="V84" s="29">
        <f ca="1">IF((V81-$C81)&lt;$C$64,SUM($C82:V82),SUM(OFFSET(V82,0,-($C64-1)):V82))</f>
        <v>54190.728000000017</v>
      </c>
      <c r="W84" s="29">
        <f ca="1">IF((W81-$C81)&lt;$C$64,SUM($C82:W82),SUM(OFFSET(W82,0,-($C64-1)):W82))</f>
        <v>57337.286400000019</v>
      </c>
      <c r="X84" s="29">
        <f ca="1">IF((X81-$C81)&lt;$C$64,SUM($C82:X82),SUM(OFFSET(X82,0,-($C64-1)):X82))</f>
        <v>60483.844800000021</v>
      </c>
      <c r="Y84" s="29">
        <f ca="1">IF((Y81-$C81)&lt;$C$64,SUM($C82:Y82),SUM(OFFSET(Y82,0,-($C64-1)):Y82))</f>
        <v>62931.16800000002</v>
      </c>
      <c r="Z84" s="29">
        <f ca="1">IF((Z81-$C81)&lt;$C$64,SUM($C82:Z82),SUM(OFFSET(Z82,0,-($C64-1)):Z82))</f>
        <v>62931.16800000002</v>
      </c>
      <c r="AA84" s="29">
        <f ca="1">IF((AA81-$C81)&lt;$C$64,SUM($C82:AA82),SUM(OFFSET(AA82,0,-($C64-1)):AA82))</f>
        <v>62931.16800000002</v>
      </c>
      <c r="AB84" s="29">
        <f ca="1">IF((AB81-$C81)&lt;$C$64,SUM($C82:AB82),SUM(OFFSET(AB82,0,-($C64-1)):AB82))</f>
        <v>62931.16800000002</v>
      </c>
    </row>
    <row r="87" spans="2:28" ht="16.5" thickBot="1" x14ac:dyDescent="0.3">
      <c r="B87" s="48" t="s">
        <v>139</v>
      </c>
    </row>
    <row r="88" spans="2:28" x14ac:dyDescent="0.25">
      <c r="B88" s="7"/>
      <c r="C88" s="8">
        <v>2025</v>
      </c>
      <c r="D88" s="8">
        <v>2026</v>
      </c>
      <c r="E88" s="8">
        <v>2027</v>
      </c>
      <c r="F88" s="8">
        <v>2028</v>
      </c>
      <c r="G88" s="8">
        <v>2029</v>
      </c>
      <c r="H88" s="8">
        <v>2030</v>
      </c>
      <c r="I88" s="8">
        <v>2031</v>
      </c>
      <c r="J88" s="8">
        <v>2032</v>
      </c>
      <c r="K88" s="8">
        <v>2033</v>
      </c>
      <c r="L88" s="8">
        <v>2034</v>
      </c>
      <c r="M88" s="8">
        <v>2035</v>
      </c>
      <c r="N88" s="8">
        <v>2036</v>
      </c>
      <c r="O88" s="8">
        <v>2037</v>
      </c>
      <c r="P88" s="8">
        <v>2038</v>
      </c>
      <c r="Q88" s="8">
        <v>2039</v>
      </c>
      <c r="R88" s="8">
        <v>2040</v>
      </c>
      <c r="S88" s="8">
        <v>2041</v>
      </c>
      <c r="T88" s="8">
        <v>2042</v>
      </c>
      <c r="U88" s="8">
        <v>2043</v>
      </c>
      <c r="V88" s="8">
        <v>2044</v>
      </c>
      <c r="W88" s="8">
        <v>2045</v>
      </c>
      <c r="X88" s="8">
        <v>2046</v>
      </c>
      <c r="Y88" s="8">
        <v>2047</v>
      </c>
      <c r="Z88" s="8">
        <v>2048</v>
      </c>
      <c r="AA88" s="8">
        <v>2049</v>
      </c>
      <c r="AB88" s="9">
        <v>2050</v>
      </c>
    </row>
    <row r="89" spans="2:28" x14ac:dyDescent="0.25">
      <c r="B89" s="10" t="s">
        <v>98</v>
      </c>
      <c r="C89" s="3">
        <f t="shared" ref="C89:AB89" si="25">C71*$C$17*$C$25/(1-$C$24)/$C$23/1000</f>
        <v>0</v>
      </c>
      <c r="D89" s="3">
        <f t="shared" si="25"/>
        <v>0</v>
      </c>
      <c r="E89" s="3">
        <f t="shared" si="25"/>
        <v>4217.1449823343455</v>
      </c>
      <c r="F89" s="3">
        <f t="shared" si="25"/>
        <v>18977.152420504557</v>
      </c>
      <c r="G89" s="3">
        <f t="shared" si="25"/>
        <v>18977.152420504557</v>
      </c>
      <c r="H89" s="3">
        <f t="shared" si="25"/>
        <v>18977.152420504557</v>
      </c>
      <c r="I89" s="3">
        <f t="shared" si="25"/>
        <v>18977.152420504557</v>
      </c>
      <c r="J89" s="3">
        <f t="shared" si="25"/>
        <v>18977.152420504557</v>
      </c>
      <c r="K89" s="3">
        <f t="shared" si="25"/>
        <v>18977.152420504557</v>
      </c>
      <c r="L89" s="3">
        <f t="shared" si="25"/>
        <v>18977.152420504557</v>
      </c>
      <c r="M89" s="3">
        <f t="shared" si="25"/>
        <v>18977.152420504557</v>
      </c>
      <c r="N89" s="3">
        <f t="shared" si="25"/>
        <v>18977.152420504557</v>
      </c>
      <c r="O89" s="3">
        <f t="shared" si="25"/>
        <v>18977.152420504557</v>
      </c>
      <c r="P89" s="3">
        <f t="shared" si="25"/>
        <v>18977.152420504557</v>
      </c>
      <c r="Q89" s="3">
        <f t="shared" si="25"/>
        <v>18977.152420504557</v>
      </c>
      <c r="R89" s="3">
        <f t="shared" si="25"/>
        <v>18977.152420504557</v>
      </c>
      <c r="S89" s="3">
        <f t="shared" si="25"/>
        <v>18977.152420504557</v>
      </c>
      <c r="T89" s="3">
        <f t="shared" si="25"/>
        <v>18977.152420504557</v>
      </c>
      <c r="U89" s="3">
        <f t="shared" si="25"/>
        <v>18977.152420504557</v>
      </c>
      <c r="V89" s="3">
        <f t="shared" si="25"/>
        <v>18977.152420504557</v>
      </c>
      <c r="W89" s="3">
        <f t="shared" si="25"/>
        <v>18977.152420504557</v>
      </c>
      <c r="X89" s="3">
        <f t="shared" si="25"/>
        <v>18977.152420504557</v>
      </c>
      <c r="Y89" s="3">
        <f t="shared" si="25"/>
        <v>18977.152420504557</v>
      </c>
      <c r="Z89" s="3">
        <f t="shared" si="25"/>
        <v>18977.152420504557</v>
      </c>
      <c r="AA89" s="3">
        <f t="shared" si="25"/>
        <v>18977.152420504557</v>
      </c>
      <c r="AB89" s="28">
        <f t="shared" si="25"/>
        <v>18977.152420504557</v>
      </c>
    </row>
    <row r="90" spans="2:28" x14ac:dyDescent="0.25">
      <c r="B90" s="10" t="s">
        <v>3</v>
      </c>
      <c r="C90" s="3">
        <f>C89*$C$34*453.6/1000000</f>
        <v>0</v>
      </c>
      <c r="D90" s="3">
        <f t="shared" ref="D90:G90" si="26">D89*$C$34*453.6/1000000</f>
        <v>0</v>
      </c>
      <c r="E90" s="3">
        <f t="shared" si="26"/>
        <v>951.47494988706364</v>
      </c>
      <c r="F90" s="3">
        <f t="shared" si="26"/>
        <v>4281.6372744917871</v>
      </c>
      <c r="G90" s="3">
        <f t="shared" si="26"/>
        <v>4281.6372744917871</v>
      </c>
      <c r="H90" s="3">
        <f>H89*$C$35*453.6/1000000</f>
        <v>2906.5034695057334</v>
      </c>
      <c r="I90" s="3">
        <f>I89*$C$35*453.6/1000000</f>
        <v>2906.5034695057334</v>
      </c>
      <c r="J90" s="3">
        <f t="shared" ref="J90:V90" si="27">J89*$C$35*453.6/1000000</f>
        <v>2906.5034695057334</v>
      </c>
      <c r="K90" s="3">
        <f t="shared" si="27"/>
        <v>2906.5034695057334</v>
      </c>
      <c r="L90" s="3">
        <f t="shared" si="27"/>
        <v>2906.5034695057334</v>
      </c>
      <c r="M90" s="3">
        <f t="shared" si="27"/>
        <v>2906.5034695057334</v>
      </c>
      <c r="N90" s="3">
        <f t="shared" si="27"/>
        <v>2906.5034695057334</v>
      </c>
      <c r="O90" s="3">
        <f t="shared" si="27"/>
        <v>2906.5034695057334</v>
      </c>
      <c r="P90" s="3">
        <f t="shared" si="27"/>
        <v>2906.5034695057334</v>
      </c>
      <c r="Q90" s="3">
        <f t="shared" si="27"/>
        <v>2906.5034695057334</v>
      </c>
      <c r="R90" s="3">
        <f t="shared" si="27"/>
        <v>2906.5034695057334</v>
      </c>
      <c r="S90" s="3">
        <f t="shared" si="27"/>
        <v>2906.5034695057334</v>
      </c>
      <c r="T90" s="3">
        <f t="shared" si="27"/>
        <v>2906.5034695057334</v>
      </c>
      <c r="U90" s="3">
        <f t="shared" si="27"/>
        <v>2906.5034695057334</v>
      </c>
      <c r="V90" s="3">
        <f t="shared" si="27"/>
        <v>2906.5034695057334</v>
      </c>
      <c r="W90" s="3">
        <f>W89*$C$36*453.6/1000000</f>
        <v>0</v>
      </c>
      <c r="X90" s="3">
        <f t="shared" ref="X90:AB90" si="28">X89*$C$36*453.6/1000000</f>
        <v>0</v>
      </c>
      <c r="Y90" s="3">
        <f t="shared" si="28"/>
        <v>0</v>
      </c>
      <c r="Z90" s="3">
        <f t="shared" si="28"/>
        <v>0</v>
      </c>
      <c r="AA90" s="3">
        <f t="shared" si="28"/>
        <v>0</v>
      </c>
      <c r="AB90" s="28">
        <f t="shared" si="28"/>
        <v>0</v>
      </c>
    </row>
    <row r="91" spans="2:28" x14ac:dyDescent="0.25">
      <c r="B91" s="10" t="s">
        <v>5</v>
      </c>
      <c r="C91" s="37">
        <f>C89*$D$34*453.6/1000000</f>
        <v>0</v>
      </c>
      <c r="D91" s="37">
        <f t="shared" ref="D91:G91" si="29">D89*$D$34*453.6/1000000</f>
        <v>0</v>
      </c>
      <c r="E91" s="43">
        <f t="shared" si="29"/>
        <v>5.7386908919605774E-2</v>
      </c>
      <c r="F91" s="43">
        <f t="shared" si="29"/>
        <v>0.25824109013822605</v>
      </c>
      <c r="G91" s="43">
        <f t="shared" si="29"/>
        <v>0.25824109013822605</v>
      </c>
      <c r="H91" s="43">
        <f>H89*$D$35*453.6/1000000</f>
        <v>0.25824109013822605</v>
      </c>
      <c r="I91" s="43">
        <f t="shared" ref="I91:V91" si="30">I89*$D$35*453.6/1000000</f>
        <v>0.25824109013822605</v>
      </c>
      <c r="J91" s="43">
        <f t="shared" si="30"/>
        <v>0.25824109013822605</v>
      </c>
      <c r="K91" s="43">
        <f t="shared" si="30"/>
        <v>0.25824109013822605</v>
      </c>
      <c r="L91" s="43">
        <f t="shared" si="30"/>
        <v>0.25824109013822605</v>
      </c>
      <c r="M91" s="43">
        <f t="shared" si="30"/>
        <v>0.25824109013822605</v>
      </c>
      <c r="N91" s="43">
        <f t="shared" si="30"/>
        <v>0.25824109013822605</v>
      </c>
      <c r="O91" s="43">
        <f t="shared" si="30"/>
        <v>0.25824109013822605</v>
      </c>
      <c r="P91" s="43">
        <f t="shared" si="30"/>
        <v>0.25824109013822605</v>
      </c>
      <c r="Q91" s="43">
        <f t="shared" si="30"/>
        <v>0.25824109013822605</v>
      </c>
      <c r="R91" s="43">
        <f t="shared" si="30"/>
        <v>0.25824109013822605</v>
      </c>
      <c r="S91" s="43">
        <f t="shared" si="30"/>
        <v>0.25824109013822605</v>
      </c>
      <c r="T91" s="43">
        <f t="shared" si="30"/>
        <v>0.25824109013822605</v>
      </c>
      <c r="U91" s="43">
        <f t="shared" si="30"/>
        <v>0.25824109013822605</v>
      </c>
      <c r="V91" s="43">
        <f t="shared" si="30"/>
        <v>0.25824109013822605</v>
      </c>
      <c r="W91" s="43">
        <f>W89*$D$36*453.6/1000000</f>
        <v>0</v>
      </c>
      <c r="X91" s="43">
        <f t="shared" ref="X91:AB91" si="31">X89*$D$36*453.6/1000000</f>
        <v>0</v>
      </c>
      <c r="Y91" s="43">
        <f t="shared" si="31"/>
        <v>0</v>
      </c>
      <c r="Z91" s="43">
        <f t="shared" si="31"/>
        <v>0</v>
      </c>
      <c r="AA91" s="43">
        <f t="shared" si="31"/>
        <v>0</v>
      </c>
      <c r="AB91" s="44">
        <f t="shared" si="31"/>
        <v>0</v>
      </c>
    </row>
    <row r="92" spans="2:28" x14ac:dyDescent="0.25">
      <c r="B92" s="10" t="s">
        <v>4</v>
      </c>
      <c r="C92" s="37">
        <f>C89*$E$34*453.6/1000000</f>
        <v>0</v>
      </c>
      <c r="D92" s="37">
        <f t="shared" ref="D92:G92" si="32">D89*$E$34*453.6/1000000</f>
        <v>0</v>
      </c>
      <c r="E92" s="43">
        <f t="shared" si="32"/>
        <v>7.6515878559474367E-3</v>
      </c>
      <c r="F92" s="43">
        <f t="shared" si="32"/>
        <v>3.4432145351763463E-2</v>
      </c>
      <c r="G92" s="43">
        <f t="shared" si="32"/>
        <v>3.4432145351763463E-2</v>
      </c>
      <c r="H92" s="43">
        <f>H89*$E$35*453.6/1000000</f>
        <v>3.4432145351763463E-2</v>
      </c>
      <c r="I92" s="43">
        <f t="shared" ref="I92:V92" si="33">I89*$E$35*453.6/1000000</f>
        <v>3.4432145351763463E-2</v>
      </c>
      <c r="J92" s="43">
        <f t="shared" si="33"/>
        <v>3.4432145351763463E-2</v>
      </c>
      <c r="K92" s="43">
        <f t="shared" si="33"/>
        <v>3.4432145351763463E-2</v>
      </c>
      <c r="L92" s="43">
        <f t="shared" si="33"/>
        <v>3.4432145351763463E-2</v>
      </c>
      <c r="M92" s="43">
        <f t="shared" si="33"/>
        <v>3.4432145351763463E-2</v>
      </c>
      <c r="N92" s="43">
        <f t="shared" si="33"/>
        <v>3.4432145351763463E-2</v>
      </c>
      <c r="O92" s="43">
        <f t="shared" si="33"/>
        <v>3.4432145351763463E-2</v>
      </c>
      <c r="P92" s="43">
        <f t="shared" si="33"/>
        <v>3.4432145351763463E-2</v>
      </c>
      <c r="Q92" s="43">
        <f t="shared" si="33"/>
        <v>3.4432145351763463E-2</v>
      </c>
      <c r="R92" s="43">
        <f t="shared" si="33"/>
        <v>3.4432145351763463E-2</v>
      </c>
      <c r="S92" s="43">
        <f t="shared" si="33"/>
        <v>3.4432145351763463E-2</v>
      </c>
      <c r="T92" s="43">
        <f t="shared" si="33"/>
        <v>3.4432145351763463E-2</v>
      </c>
      <c r="U92" s="43">
        <f t="shared" si="33"/>
        <v>3.4432145351763463E-2</v>
      </c>
      <c r="V92" s="43">
        <f t="shared" si="33"/>
        <v>3.4432145351763463E-2</v>
      </c>
      <c r="W92" s="43">
        <f>W89*$E$36*453.6/1000000</f>
        <v>0</v>
      </c>
      <c r="X92" s="43">
        <f t="shared" ref="X92:AB92" si="34">X89*$E$36*453.6/1000000</f>
        <v>0</v>
      </c>
      <c r="Y92" s="43">
        <f t="shared" si="34"/>
        <v>0</v>
      </c>
      <c r="Z92" s="43">
        <f t="shared" si="34"/>
        <v>0</v>
      </c>
      <c r="AA92" s="43">
        <f t="shared" si="34"/>
        <v>0</v>
      </c>
      <c r="AB92" s="44">
        <f t="shared" si="34"/>
        <v>0</v>
      </c>
    </row>
    <row r="93" spans="2:28" x14ac:dyDescent="0.25">
      <c r="B93" s="10" t="s">
        <v>6</v>
      </c>
      <c r="C93" s="3">
        <f>C90+C91*$D$44+C92*$E$44</f>
        <v>0</v>
      </c>
      <c r="D93" s="3">
        <f t="shared" ref="D93:AB93" si="35">D90+D91*$D$44+D92*$E$44</f>
        <v>0</v>
      </c>
      <c r="E93" s="3">
        <f t="shared" si="35"/>
        <v>955.10945411863861</v>
      </c>
      <c r="F93" s="3">
        <f t="shared" si="35"/>
        <v>4297.9925435338746</v>
      </c>
      <c r="G93" s="3">
        <f t="shared" si="35"/>
        <v>4297.9925435338746</v>
      </c>
      <c r="H93" s="3">
        <f t="shared" si="35"/>
        <v>2922.8587385478213</v>
      </c>
      <c r="I93" s="3">
        <f t="shared" si="35"/>
        <v>2922.8587385478213</v>
      </c>
      <c r="J93" s="3">
        <f t="shared" si="35"/>
        <v>2922.8587385478213</v>
      </c>
      <c r="K93" s="3">
        <f t="shared" si="35"/>
        <v>2922.8587385478213</v>
      </c>
      <c r="L93" s="3">
        <f t="shared" si="35"/>
        <v>2922.8587385478213</v>
      </c>
      <c r="M93" s="3">
        <f t="shared" si="35"/>
        <v>2922.8587385478213</v>
      </c>
      <c r="N93" s="3">
        <f t="shared" si="35"/>
        <v>2922.8587385478213</v>
      </c>
      <c r="O93" s="3">
        <f t="shared" si="35"/>
        <v>2922.8587385478213</v>
      </c>
      <c r="P93" s="3">
        <f t="shared" si="35"/>
        <v>2922.8587385478213</v>
      </c>
      <c r="Q93" s="3">
        <f t="shared" si="35"/>
        <v>2922.8587385478213</v>
      </c>
      <c r="R93" s="3">
        <f t="shared" si="35"/>
        <v>2922.8587385478213</v>
      </c>
      <c r="S93" s="3">
        <f t="shared" si="35"/>
        <v>2922.8587385478213</v>
      </c>
      <c r="T93" s="3">
        <f t="shared" si="35"/>
        <v>2922.8587385478213</v>
      </c>
      <c r="U93" s="3">
        <f t="shared" si="35"/>
        <v>2922.8587385478213</v>
      </c>
      <c r="V93" s="3">
        <f t="shared" si="35"/>
        <v>2922.8587385478213</v>
      </c>
      <c r="W93" s="3">
        <f t="shared" si="35"/>
        <v>0</v>
      </c>
      <c r="X93" s="3">
        <f t="shared" si="35"/>
        <v>0</v>
      </c>
      <c r="Y93" s="3">
        <f t="shared" si="35"/>
        <v>0</v>
      </c>
      <c r="Z93" s="3">
        <f t="shared" si="35"/>
        <v>0</v>
      </c>
      <c r="AA93" s="3">
        <f t="shared" si="35"/>
        <v>0</v>
      </c>
      <c r="AB93" s="28">
        <f t="shared" si="35"/>
        <v>0</v>
      </c>
    </row>
    <row r="94" spans="2:28" x14ac:dyDescent="0.25">
      <c r="B94" s="10" t="s">
        <v>7</v>
      </c>
      <c r="C94" s="3">
        <f>C93</f>
        <v>0</v>
      </c>
      <c r="D94" s="3">
        <f t="shared" ref="D94:AB94" si="36">C94+D93</f>
        <v>0</v>
      </c>
      <c r="E94" s="3">
        <f t="shared" si="36"/>
        <v>955.10945411863861</v>
      </c>
      <c r="F94" s="3">
        <f t="shared" si="36"/>
        <v>5253.1019976525131</v>
      </c>
      <c r="G94" s="3">
        <f t="shared" si="36"/>
        <v>9551.0945411863868</v>
      </c>
      <c r="H94" s="3">
        <f t="shared" si="36"/>
        <v>12473.953279734207</v>
      </c>
      <c r="I94" s="3">
        <f t="shared" si="36"/>
        <v>15396.812018282028</v>
      </c>
      <c r="J94" s="3">
        <f t="shared" si="36"/>
        <v>18319.670756829848</v>
      </c>
      <c r="K94" s="3">
        <f t="shared" si="36"/>
        <v>21242.529495377668</v>
      </c>
      <c r="L94" s="3">
        <f t="shared" si="36"/>
        <v>24165.388233925489</v>
      </c>
      <c r="M94" s="3">
        <f t="shared" si="36"/>
        <v>27088.246972473309</v>
      </c>
      <c r="N94" s="3">
        <f t="shared" si="36"/>
        <v>30011.10571102113</v>
      </c>
      <c r="O94" s="3">
        <f t="shared" si="36"/>
        <v>32933.96444956895</v>
      </c>
      <c r="P94" s="3">
        <f t="shared" si="36"/>
        <v>35856.823188116774</v>
      </c>
      <c r="Q94" s="3">
        <f t="shared" si="36"/>
        <v>38779.681926664598</v>
      </c>
      <c r="R94" s="3">
        <f t="shared" si="36"/>
        <v>41702.540665212422</v>
      </c>
      <c r="S94" s="3">
        <f t="shared" si="36"/>
        <v>44625.399403760246</v>
      </c>
      <c r="T94" s="3">
        <f t="shared" si="36"/>
        <v>47548.25814230807</v>
      </c>
      <c r="U94" s="3">
        <f t="shared" si="36"/>
        <v>50471.116880855894</v>
      </c>
      <c r="V94" s="3">
        <f t="shared" si="36"/>
        <v>53393.975619403718</v>
      </c>
      <c r="W94" s="3">
        <f t="shared" si="36"/>
        <v>53393.975619403718</v>
      </c>
      <c r="X94" s="3">
        <f t="shared" si="36"/>
        <v>53393.975619403718</v>
      </c>
      <c r="Y94" s="3">
        <f t="shared" si="36"/>
        <v>53393.975619403718</v>
      </c>
      <c r="Z94" s="3">
        <f t="shared" si="36"/>
        <v>53393.975619403718</v>
      </c>
      <c r="AA94" s="3">
        <f t="shared" si="36"/>
        <v>53393.975619403718</v>
      </c>
      <c r="AB94" s="28">
        <f t="shared" si="36"/>
        <v>53393.975619403718</v>
      </c>
    </row>
    <row r="95" spans="2:28" ht="15.75" thickBot="1" x14ac:dyDescent="0.3">
      <c r="B95" s="12" t="s">
        <v>146</v>
      </c>
      <c r="C95" s="29">
        <f ca="1">IF((C88-$C88)&lt;$C$64,SUM($C93:C93),SUM(OFFSET(C93,0,-($C$64-1)):C93))</f>
        <v>0</v>
      </c>
      <c r="D95" s="29">
        <f ca="1">IF((D88-$C88)&lt;$C$64,SUM($C93:D93),SUM(OFFSET(D93,0,-($C$64-1)):D93))</f>
        <v>0</v>
      </c>
      <c r="E95" s="29">
        <f ca="1">IF((E88-$C88)&lt;$C$64,SUM($C93:E93),SUM(OFFSET(E93,0,-($C$64-1)):E93))</f>
        <v>955.10945411863861</v>
      </c>
      <c r="F95" s="29">
        <f ca="1">IF((F88-$C88)&lt;$C$64,SUM($C93:F93),SUM(OFFSET(F93,0,-($C$64-1)):F93))</f>
        <v>5253.1019976525131</v>
      </c>
      <c r="G95" s="29">
        <f ca="1">IF((G88-$C88)&lt;$C$64,SUM($C93:G93),SUM(OFFSET(G93,0,-($C$64-1)):G93))</f>
        <v>9551.0945411863868</v>
      </c>
      <c r="H95" s="29">
        <f ca="1">IF((H88-$C88)&lt;$C$64,SUM($C93:H93),SUM(OFFSET(H93,0,-($C$64-1)):H93))</f>
        <v>12473.953279734207</v>
      </c>
      <c r="I95" s="29">
        <f ca="1">IF((I88-$C88)&lt;$C$64,SUM($C93:I93),SUM(OFFSET(I93,0,-($C$64-1)):I93))</f>
        <v>15396.812018282028</v>
      </c>
      <c r="J95" s="29">
        <f ca="1">IF((J88-$C88)&lt;$C$64,SUM($C93:J93),SUM(OFFSET(J93,0,-($C$64-1)):J93))</f>
        <v>18319.670756829848</v>
      </c>
      <c r="K95" s="29">
        <f ca="1">IF((K88-$C88)&lt;$C$64,SUM($C93:K93),SUM(OFFSET(K93,0,-($C$64-1)):K93))</f>
        <v>21242.529495377668</v>
      </c>
      <c r="L95" s="29">
        <f ca="1">IF((L88-$C88)&lt;$C$64,SUM($C93:L93),SUM(OFFSET(L93,0,-($C$64-1)):L93))</f>
        <v>24165.388233925489</v>
      </c>
      <c r="M95" s="29">
        <f ca="1">IF((M88-$C88)&lt;$C$64,SUM($C93:M93),SUM(OFFSET(M93,0,-($C$64-1)):M93))</f>
        <v>27088.246972473309</v>
      </c>
      <c r="N95" s="29">
        <f ca="1">IF((N88-$C88)&lt;$C$64,SUM($C93:N93),SUM(OFFSET(N93,0,-($C$64-1)):N93))</f>
        <v>30011.10571102113</v>
      </c>
      <c r="O95" s="29">
        <f ca="1">IF((O88-$C88)&lt;$C$64,SUM($C93:O93),SUM(OFFSET(O93,0,-($C$64-1)):O93))</f>
        <v>32933.96444956895</v>
      </c>
      <c r="P95" s="29">
        <f ca="1">IF((P88-$C88)&lt;$C$64,SUM($C93:P93),SUM(OFFSET(P93,0,-($C$64-1)):P93))</f>
        <v>35856.823188116774</v>
      </c>
      <c r="Q95" s="29">
        <f ca="1">IF((Q88-$C88)&lt;$C$64,SUM($C93:Q93),SUM(OFFSET(Q93,0,-($C$64-1)):Q93))</f>
        <v>38779.681926664598</v>
      </c>
      <c r="R95" s="29">
        <f ca="1">IF((R88-$C88)&lt;$C$64,SUM($C93:R93),SUM(OFFSET(R93,0,-($C$64-1)):R93))</f>
        <v>41702.540665212422</v>
      </c>
      <c r="S95" s="29">
        <f ca="1">IF((S88-$C88)&lt;$C$64,SUM($C93:S93),SUM(OFFSET(S93,0,-($C$64-1)):S93))</f>
        <v>44625.399403760246</v>
      </c>
      <c r="T95" s="29">
        <f ca="1">IF((T88-$C88)&lt;$C$64,SUM($C93:T93),SUM(OFFSET(T93,0,-($C$64-1)):T93))</f>
        <v>47548.25814230807</v>
      </c>
      <c r="U95" s="29">
        <f ca="1">IF((U88-$C88)&lt;$C$64,SUM($C93:U93),SUM(OFFSET(U93,0,-($C$64-1)):U93))</f>
        <v>50471.116880855894</v>
      </c>
      <c r="V95" s="29">
        <f ca="1">IF((V88-$C88)&lt;$C$64,SUM($C93:V93),SUM(OFFSET(V93,0,-($C$64-1)):V93))</f>
        <v>53393.975619403718</v>
      </c>
      <c r="W95" s="29">
        <f ca="1">IF((W88-$C88)&lt;$C$64,SUM($C93:W93),SUM(OFFSET(W93,0,-($C$64-1)):W93))</f>
        <v>53393.975619403718</v>
      </c>
      <c r="X95" s="29">
        <f ca="1">IF((X88-$C88)&lt;$C$64,SUM($C93:X93),SUM(OFFSET(X93,0,-($C$64-1)):X93))</f>
        <v>53393.975619403718</v>
      </c>
      <c r="Y95" s="29">
        <f ca="1">IF((Y88-$C88)&lt;$C$64,SUM($C93:Y93),SUM(OFFSET(Y93,0,-($C$64-1)):Y93))</f>
        <v>52438.866165285079</v>
      </c>
      <c r="Z95" s="29">
        <f ca="1">IF((Z88-$C88)&lt;$C$64,SUM($C93:Z93),SUM(OFFSET(Z93,0,-($C$64-1)):Z93))</f>
        <v>48140.873621751205</v>
      </c>
      <c r="AA95" s="29">
        <f ca="1">IF((AA88-$C88)&lt;$C$64,SUM($C93:AA93),SUM(OFFSET(AA93,0,-($C$64-1)):AA93))</f>
        <v>43842.881078217324</v>
      </c>
      <c r="AB95" s="30">
        <f ca="1">IF((AB88-$C88)&lt;$C$64,SUM($C93:AB93),SUM(OFFSET(AB93,0,-($C$64-1)):AB93))</f>
        <v>40920.0223396695</v>
      </c>
    </row>
    <row r="96" spans="2:28" x14ac:dyDescent="0.25">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2:28" x14ac:dyDescent="0.25">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2:28" ht="16.5" thickBot="1" x14ac:dyDescent="0.3">
      <c r="B98" s="48" t="s">
        <v>306</v>
      </c>
    </row>
    <row r="99" spans="2:28" x14ac:dyDescent="0.25">
      <c r="B99" s="7"/>
      <c r="C99" s="8">
        <v>2025</v>
      </c>
      <c r="D99" s="8">
        <v>2026</v>
      </c>
      <c r="E99" s="8">
        <v>2027</v>
      </c>
      <c r="F99" s="8">
        <v>2028</v>
      </c>
      <c r="G99" s="8">
        <v>2029</v>
      </c>
      <c r="H99" s="8">
        <v>2030</v>
      </c>
      <c r="I99" s="8">
        <v>2031</v>
      </c>
      <c r="J99" s="8">
        <v>2032</v>
      </c>
      <c r="K99" s="8">
        <v>2033</v>
      </c>
      <c r="L99" s="8">
        <v>2034</v>
      </c>
      <c r="M99" s="8">
        <v>2035</v>
      </c>
      <c r="N99" s="8">
        <v>2036</v>
      </c>
      <c r="O99" s="8">
        <v>2037</v>
      </c>
      <c r="P99" s="8">
        <v>2038</v>
      </c>
      <c r="Q99" s="8">
        <v>2039</v>
      </c>
      <c r="R99" s="8">
        <v>2040</v>
      </c>
      <c r="S99" s="8">
        <v>2041</v>
      </c>
      <c r="T99" s="8">
        <v>2042</v>
      </c>
      <c r="U99" s="8">
        <v>2043</v>
      </c>
      <c r="V99" s="8">
        <v>2044</v>
      </c>
      <c r="W99" s="8">
        <v>2045</v>
      </c>
      <c r="X99" s="8">
        <v>2046</v>
      </c>
      <c r="Y99" s="8">
        <v>2047</v>
      </c>
      <c r="Z99" s="8">
        <v>2048</v>
      </c>
      <c r="AA99" s="8">
        <v>2049</v>
      </c>
      <c r="AB99" s="9">
        <v>2050</v>
      </c>
    </row>
    <row r="100" spans="2:28" x14ac:dyDescent="0.25">
      <c r="B100" s="10" t="s">
        <v>307</v>
      </c>
      <c r="C100" s="3">
        <f>C75+C82-C93</f>
        <v>0</v>
      </c>
      <c r="D100" s="3">
        <f t="shared" ref="D100:AB100" si="37">D75+D82-D93</f>
        <v>0</v>
      </c>
      <c r="E100" s="3">
        <f t="shared" si="37"/>
        <v>2834.5157458813619</v>
      </c>
      <c r="F100" s="3">
        <f t="shared" si="37"/>
        <v>12755.320856466125</v>
      </c>
      <c r="G100" s="3">
        <f t="shared" si="37"/>
        <v>12755.320856466125</v>
      </c>
      <c r="H100" s="3">
        <f t="shared" si="37"/>
        <v>14130.454661452179</v>
      </c>
      <c r="I100" s="3">
        <f t="shared" si="37"/>
        <v>14130.454661452179</v>
      </c>
      <c r="J100" s="3">
        <f t="shared" si="37"/>
        <v>14130.454661452179</v>
      </c>
      <c r="K100" s="3">
        <f t="shared" si="37"/>
        <v>14130.454661452179</v>
      </c>
      <c r="L100" s="3">
        <f t="shared" si="37"/>
        <v>14130.454661452179</v>
      </c>
      <c r="M100" s="3">
        <f t="shared" si="37"/>
        <v>14130.454661452179</v>
      </c>
      <c r="N100" s="3">
        <f t="shared" si="37"/>
        <v>14130.454661452179</v>
      </c>
      <c r="O100" s="3">
        <f t="shared" si="37"/>
        <v>14130.454661452179</v>
      </c>
      <c r="P100" s="3">
        <f t="shared" si="37"/>
        <v>14130.454661452179</v>
      </c>
      <c r="Q100" s="3">
        <f t="shared" si="37"/>
        <v>14130.454661452179</v>
      </c>
      <c r="R100" s="3">
        <f t="shared" si="37"/>
        <v>14130.454661452179</v>
      </c>
      <c r="S100" s="3">
        <f t="shared" si="37"/>
        <v>14130.454661452179</v>
      </c>
      <c r="T100" s="3">
        <f t="shared" si="37"/>
        <v>14130.454661452179</v>
      </c>
      <c r="U100" s="3">
        <f t="shared" si="37"/>
        <v>14130.454661452179</v>
      </c>
      <c r="V100" s="3">
        <f t="shared" si="37"/>
        <v>14130.454661452179</v>
      </c>
      <c r="W100" s="3">
        <f t="shared" si="37"/>
        <v>17053.313399999999</v>
      </c>
      <c r="X100" s="3">
        <f t="shared" si="37"/>
        <v>17053.313399999999</v>
      </c>
      <c r="Y100" s="3">
        <f t="shared" si="37"/>
        <v>17053.313399999999</v>
      </c>
      <c r="Z100" s="3">
        <f t="shared" si="37"/>
        <v>17053.313399999999</v>
      </c>
      <c r="AA100" s="3">
        <f t="shared" si="37"/>
        <v>17053.313399999999</v>
      </c>
      <c r="AB100" s="3">
        <f t="shared" si="37"/>
        <v>17053.313399999999</v>
      </c>
    </row>
    <row r="101" spans="2:28" ht="15.75" thickBot="1" x14ac:dyDescent="0.3">
      <c r="B101" s="12" t="s">
        <v>308</v>
      </c>
      <c r="C101" s="29">
        <f ca="1">C77+C84-C95</f>
        <v>0</v>
      </c>
      <c r="D101" s="29">
        <f t="shared" ref="D101:AB101" ca="1" si="38">D77+D84-D95</f>
        <v>0</v>
      </c>
      <c r="E101" s="29">
        <f t="shared" ca="1" si="38"/>
        <v>2834.5157458813619</v>
      </c>
      <c r="F101" s="29">
        <f t="shared" ca="1" si="38"/>
        <v>15589.836602347488</v>
      </c>
      <c r="G101" s="29">
        <f t="shared" ca="1" si="38"/>
        <v>28345.157458813614</v>
      </c>
      <c r="H101" s="29">
        <f t="shared" ca="1" si="38"/>
        <v>42475.612120265796</v>
      </c>
      <c r="I101" s="29">
        <f t="shared" ca="1" si="38"/>
        <v>56606.066781717978</v>
      </c>
      <c r="J101" s="29">
        <f t="shared" ca="1" si="38"/>
        <v>70736.521443170161</v>
      </c>
      <c r="K101" s="29">
        <f t="shared" ca="1" si="38"/>
        <v>84866.976104622328</v>
      </c>
      <c r="L101" s="29">
        <f t="shared" ca="1" si="38"/>
        <v>98997.430766074525</v>
      </c>
      <c r="M101" s="29">
        <f t="shared" ca="1" si="38"/>
        <v>113127.88542752672</v>
      </c>
      <c r="N101" s="29">
        <f t="shared" ca="1" si="38"/>
        <v>127258.34008897892</v>
      </c>
      <c r="O101" s="29">
        <f t="shared" ca="1" si="38"/>
        <v>141388.79475043109</v>
      </c>
      <c r="P101" s="29">
        <f t="shared" ca="1" si="38"/>
        <v>155519.24941188327</v>
      </c>
      <c r="Q101" s="29">
        <f t="shared" ca="1" si="38"/>
        <v>169649.70407333545</v>
      </c>
      <c r="R101" s="29">
        <f t="shared" ca="1" si="38"/>
        <v>183780.1587347876</v>
      </c>
      <c r="S101" s="29">
        <f t="shared" ca="1" si="38"/>
        <v>197910.61339623982</v>
      </c>
      <c r="T101" s="29">
        <f t="shared" ca="1" si="38"/>
        <v>212041.068057692</v>
      </c>
      <c r="U101" s="29">
        <f t="shared" ca="1" si="38"/>
        <v>226171.52271914415</v>
      </c>
      <c r="V101" s="29">
        <f t="shared" ca="1" si="38"/>
        <v>240301.97738059639</v>
      </c>
      <c r="W101" s="29">
        <f t="shared" ca="1" si="38"/>
        <v>257355.29078059638</v>
      </c>
      <c r="X101" s="29">
        <f t="shared" ca="1" si="38"/>
        <v>274408.60418059636</v>
      </c>
      <c r="Y101" s="29">
        <f t="shared" ca="1" si="38"/>
        <v>288627.40183471498</v>
      </c>
      <c r="Z101" s="29">
        <f t="shared" ca="1" si="38"/>
        <v>292925.39437824883</v>
      </c>
      <c r="AA101" s="29">
        <f t="shared" ca="1" si="38"/>
        <v>297223.38692178275</v>
      </c>
      <c r="AB101" s="29">
        <f t="shared" ca="1" si="38"/>
        <v>300146.24566033052</v>
      </c>
    </row>
    <row r="102" spans="2:28" x14ac:dyDescent="0.25">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row r="103" spans="2:28" x14ac:dyDescent="0.25">
      <c r="C103" s="21"/>
      <c r="D103" s="21"/>
      <c r="E103" s="21"/>
      <c r="F103" s="21"/>
      <c r="G103" s="21"/>
      <c r="H103" s="21"/>
    </row>
    <row r="104" spans="2:28" x14ac:dyDescent="0.25">
      <c r="C104" s="21"/>
      <c r="D104" s="21"/>
      <c r="E104" s="21"/>
      <c r="F104" s="21"/>
      <c r="G104" s="21"/>
      <c r="H104" s="21"/>
    </row>
    <row r="106" spans="2:28" ht="16.5" thickBot="1" x14ac:dyDescent="0.3">
      <c r="B106" s="48" t="s">
        <v>143</v>
      </c>
    </row>
    <row r="107" spans="2:28" x14ac:dyDescent="0.25">
      <c r="B107" s="7"/>
      <c r="C107" s="9">
        <v>2030</v>
      </c>
    </row>
    <row r="108" spans="2:28" x14ac:dyDescent="0.25">
      <c r="B108" s="10" t="s">
        <v>132</v>
      </c>
      <c r="C108" s="27">
        <f>H7*C16*C17*C50/453.6/2000</f>
        <v>285</v>
      </c>
    </row>
    <row r="109" spans="2:28" x14ac:dyDescent="0.25">
      <c r="B109" s="10" t="s">
        <v>133</v>
      </c>
      <c r="C109" s="45">
        <f>H7*C16*C17*D50/453.6/2000</f>
        <v>9.156190476190476</v>
      </c>
    </row>
    <row r="110" spans="2:28" ht="15.75" thickBot="1" x14ac:dyDescent="0.3">
      <c r="B110" s="12" t="s">
        <v>134</v>
      </c>
      <c r="C110" s="47">
        <f>H7*C16*C17*E50/453.6/2000</f>
        <v>9.9523809523809526</v>
      </c>
    </row>
  </sheetData>
  <mergeCells count="4">
    <mergeCell ref="B10:B11"/>
    <mergeCell ref="C10:C11"/>
    <mergeCell ref="D10:D11"/>
    <mergeCell ref="E10:E11"/>
  </mergeCells>
  <hyperlinks>
    <hyperlink ref="B14" r:id="rId1" display="https://www.epa.gov/climateleadership/ghg-emission-factors-hub" xr:uid="{00000000-0004-0000-0400-000000000000}"/>
    <hyperlink ref="B30" r:id="rId2" location="What%20is%20Grid%20Gross%20Loss" xr:uid="{00000000-0004-0000-0400-000001000000}"/>
    <hyperlink ref="B28" r:id="rId3" display="https://afdc.energy.gov/files/pdfs/argonne_phev_evaluation_report.pdf" xr:uid="{00000000-0004-0000-0400-000002000000}"/>
    <hyperlink ref="B39" r:id="rId4" xr:uid="{00000000-0004-0000-0400-000003000000}"/>
    <hyperlink ref="B58" r:id="rId5" xr:uid="{845B6FA0-4A70-4925-9F57-63B0ADEF2841}"/>
  </hyperlinks>
  <pageMargins left="0.7" right="0.7" top="0.75" bottom="0.75" header="0.3" footer="0.3"/>
  <pageSetup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T37"/>
  <sheetViews>
    <sheetView workbookViewId="0">
      <selection activeCell="C15" sqref="C15"/>
    </sheetView>
  </sheetViews>
  <sheetFormatPr defaultRowHeight="15" x14ac:dyDescent="0.25"/>
  <cols>
    <col min="2" max="2" width="56.28515625" customWidth="1"/>
    <col min="3" max="3" width="10.85546875" customWidth="1"/>
    <col min="4" max="4" width="11" bestFit="1" customWidth="1"/>
    <col min="7" max="7" width="21.42578125" customWidth="1"/>
    <col min="8" max="8" width="12.140625" customWidth="1"/>
    <col min="10" max="10" width="13.140625" customWidth="1"/>
    <col min="11" max="11" width="11.5703125" customWidth="1"/>
    <col min="12" max="12" width="10.5703125" customWidth="1"/>
    <col min="13" max="13" width="10.85546875" customWidth="1"/>
    <col min="14" max="14" width="13.85546875" customWidth="1"/>
    <col min="15" max="15" width="9.7109375" customWidth="1"/>
    <col min="16" max="16" width="10.5703125" customWidth="1"/>
    <col min="17" max="17" width="15" customWidth="1"/>
    <col min="18" max="18" width="17.7109375" customWidth="1"/>
    <col min="19" max="19" width="9.140625" customWidth="1"/>
    <col min="20" max="20" width="24.28515625" customWidth="1"/>
  </cols>
  <sheetData>
    <row r="3" spans="2:20" x14ac:dyDescent="0.25">
      <c r="B3" s="54" t="s">
        <v>194</v>
      </c>
      <c r="G3" s="54" t="s">
        <v>227</v>
      </c>
    </row>
    <row r="5" spans="2:20" x14ac:dyDescent="0.25">
      <c r="B5" t="s">
        <v>195</v>
      </c>
      <c r="G5" t="s">
        <v>228</v>
      </c>
      <c r="N5" s="1">
        <v>2030</v>
      </c>
      <c r="Q5" s="1">
        <v>2030</v>
      </c>
      <c r="R5" s="1">
        <v>2030</v>
      </c>
    </row>
    <row r="6" spans="2:20" x14ac:dyDescent="0.25">
      <c r="B6" s="1" t="s">
        <v>124</v>
      </c>
      <c r="C6" s="4">
        <v>10.210000000000001</v>
      </c>
      <c r="D6" s="5"/>
      <c r="E6" s="5"/>
      <c r="G6" s="198" t="s">
        <v>229</v>
      </c>
      <c r="H6" s="4" t="s">
        <v>21</v>
      </c>
      <c r="I6" s="4" t="s">
        <v>230</v>
      </c>
      <c r="J6" s="4" t="s">
        <v>231</v>
      </c>
      <c r="K6" s="4" t="s">
        <v>232</v>
      </c>
      <c r="L6" s="4" t="s">
        <v>239</v>
      </c>
      <c r="M6" s="4" t="s">
        <v>240</v>
      </c>
      <c r="N6" s="4" t="s">
        <v>233</v>
      </c>
      <c r="O6" s="4" t="s">
        <v>241</v>
      </c>
      <c r="P6" s="4" t="s">
        <v>242</v>
      </c>
      <c r="Q6" s="4" t="s">
        <v>238</v>
      </c>
      <c r="R6" s="4" t="s">
        <v>243</v>
      </c>
      <c r="S6" s="5"/>
      <c r="T6" s="4" t="s">
        <v>249</v>
      </c>
    </row>
    <row r="7" spans="2:20" x14ac:dyDescent="0.25">
      <c r="B7" s="1" t="s">
        <v>126</v>
      </c>
      <c r="C7" s="4">
        <v>0.42</v>
      </c>
      <c r="D7" s="5"/>
      <c r="E7" s="5"/>
      <c r="G7" s="198"/>
      <c r="H7" s="4"/>
      <c r="I7" s="4"/>
      <c r="J7" s="4"/>
      <c r="K7" s="4"/>
      <c r="L7" s="4" t="s">
        <v>234</v>
      </c>
      <c r="M7" s="4"/>
      <c r="N7" s="4" t="s">
        <v>235</v>
      </c>
      <c r="O7" s="4"/>
      <c r="P7" s="4"/>
      <c r="Q7" s="4" t="s">
        <v>235</v>
      </c>
      <c r="R7" s="4" t="s">
        <v>237</v>
      </c>
      <c r="S7" s="5"/>
      <c r="T7" s="3">
        <v>12000</v>
      </c>
    </row>
    <row r="8" spans="2:20" x14ac:dyDescent="0.25">
      <c r="B8" s="1" t="s">
        <v>127</v>
      </c>
      <c r="C8" s="1">
        <v>0.6</v>
      </c>
      <c r="G8" s="198"/>
      <c r="H8" s="1">
        <v>2011</v>
      </c>
      <c r="I8" s="1">
        <v>221</v>
      </c>
      <c r="J8" s="1">
        <v>1908</v>
      </c>
      <c r="K8" s="1">
        <v>0.39</v>
      </c>
      <c r="L8" s="23">
        <v>1.51538642316667</v>
      </c>
      <c r="M8" s="1">
        <v>1.9700000002166701E-5</v>
      </c>
      <c r="N8" s="43">
        <f>I8*J8*K8*(L8+M8*$T$7)/453.6/2000</f>
        <v>0.31755091294419618</v>
      </c>
      <c r="O8" s="23">
        <v>5.6263055249999999E-2</v>
      </c>
      <c r="P8" s="1">
        <v>2.0800000092423E-6</v>
      </c>
      <c r="Q8" s="1">
        <f>I8*J8*K8*(O8+P8*$T$7)/453.6/2000</f>
        <v>1.4723515972321476E-2</v>
      </c>
      <c r="R8" s="1">
        <f>Q8*0.92</f>
        <v>1.354563469453576E-2</v>
      </c>
    </row>
    <row r="9" spans="2:20" x14ac:dyDescent="0.25">
      <c r="B9" t="s">
        <v>207</v>
      </c>
      <c r="G9" s="198"/>
      <c r="H9" s="1">
        <v>2012</v>
      </c>
      <c r="I9" s="1">
        <v>221</v>
      </c>
      <c r="J9" s="1">
        <v>1908</v>
      </c>
      <c r="K9" s="1">
        <v>0.39</v>
      </c>
      <c r="L9" s="23">
        <v>1.51538642316667</v>
      </c>
      <c r="M9" s="1">
        <v>1.9700000002166701E-5</v>
      </c>
      <c r="N9" s="43">
        <f t="shared" ref="N9:N14" si="0">I9*J9*K9*(L9+M9*$T$7)/453.6/2000</f>
        <v>0.31755091294419618</v>
      </c>
      <c r="O9" s="23">
        <v>5.6263055249999999E-2</v>
      </c>
      <c r="P9" s="1">
        <v>2.0800000092423E-6</v>
      </c>
      <c r="Q9" s="1">
        <f t="shared" ref="Q9:Q14" si="1">I9*J9*K9*(O9+P9*$T$7)/453.6/2000</f>
        <v>1.4723515972321476E-2</v>
      </c>
      <c r="R9" s="1">
        <f t="shared" ref="R9:R14" si="2">Q9*0.92</f>
        <v>1.354563469453576E-2</v>
      </c>
    </row>
    <row r="10" spans="2:20" x14ac:dyDescent="0.25">
      <c r="B10" s="81" t="s">
        <v>196</v>
      </c>
      <c r="G10" s="198"/>
      <c r="H10" s="1">
        <v>2013</v>
      </c>
      <c r="I10" s="1">
        <v>221</v>
      </c>
      <c r="J10" s="1">
        <v>1908</v>
      </c>
      <c r="K10" s="1">
        <v>0.39</v>
      </c>
      <c r="L10" s="23">
        <v>1.6309947600800001</v>
      </c>
      <c r="M10" s="1">
        <v>2.1200000001039899E-5</v>
      </c>
      <c r="N10" s="43">
        <f t="shared" si="0"/>
        <v>0.34177044610062107</v>
      </c>
      <c r="O10" s="23">
        <v>3.8581863130434803E-2</v>
      </c>
      <c r="P10" s="1">
        <v>1.43000000483444E-6</v>
      </c>
      <c r="Q10" s="1">
        <f t="shared" si="1"/>
        <v>1.0104473530764048E-2</v>
      </c>
      <c r="R10" s="1">
        <f t="shared" si="2"/>
        <v>9.2961156483029241E-3</v>
      </c>
    </row>
    <row r="11" spans="2:20" x14ac:dyDescent="0.25">
      <c r="G11" s="198"/>
      <c r="H11" s="1">
        <v>2014</v>
      </c>
      <c r="I11" s="1">
        <v>221</v>
      </c>
      <c r="J11" s="1">
        <v>1908</v>
      </c>
      <c r="K11" s="1">
        <v>0.39</v>
      </c>
      <c r="L11" s="23">
        <v>0.83667525643999996</v>
      </c>
      <c r="M11" s="1">
        <v>1.1000000005784799E-5</v>
      </c>
      <c r="N11" s="43">
        <f t="shared" si="0"/>
        <v>0.17559430075408633</v>
      </c>
      <c r="O11" s="23">
        <v>3.3556494388888899E-2</v>
      </c>
      <c r="P11" s="1">
        <v>1.2400000143704601E-6</v>
      </c>
      <c r="Q11" s="1">
        <f t="shared" si="1"/>
        <v>8.780210226618847E-3</v>
      </c>
      <c r="R11" s="1">
        <f t="shared" si="2"/>
        <v>8.0777934084893394E-3</v>
      </c>
    </row>
    <row r="12" spans="2:20" x14ac:dyDescent="0.25">
      <c r="B12" t="s">
        <v>157</v>
      </c>
      <c r="G12" s="198"/>
      <c r="H12" s="1">
        <v>2015</v>
      </c>
      <c r="I12" s="1">
        <v>221</v>
      </c>
      <c r="J12" s="1">
        <v>1908</v>
      </c>
      <c r="K12" s="1">
        <v>0.39</v>
      </c>
      <c r="L12" s="23">
        <v>0.64539121177419401</v>
      </c>
      <c r="M12" s="1">
        <v>8.5099999970225604E-6</v>
      </c>
      <c r="N12" s="43">
        <f t="shared" si="0"/>
        <v>0.13550331511929081</v>
      </c>
      <c r="O12" s="23">
        <v>3.020084495E-2</v>
      </c>
      <c r="P12" s="1">
        <v>1.1199999981457501E-6</v>
      </c>
      <c r="Q12" s="1">
        <f t="shared" si="1"/>
        <v>7.9108902575040635E-3</v>
      </c>
      <c r="R12" s="1">
        <f t="shared" si="2"/>
        <v>7.2780190369037389E-3</v>
      </c>
    </row>
    <row r="13" spans="2:20" x14ac:dyDescent="0.25">
      <c r="B13" s="1" t="s">
        <v>197</v>
      </c>
      <c r="C13" s="1">
        <v>0.36699999999999999</v>
      </c>
      <c r="G13" s="198"/>
      <c r="H13" s="1">
        <v>2016</v>
      </c>
      <c r="I13" s="1">
        <v>221</v>
      </c>
      <c r="J13" s="1">
        <v>1908</v>
      </c>
      <c r="K13" s="1">
        <v>0.39</v>
      </c>
      <c r="L13" s="23">
        <v>0.88619650695454499</v>
      </c>
      <c r="M13" s="1">
        <v>1.1699999999399901E-5</v>
      </c>
      <c r="N13" s="43">
        <f t="shared" si="0"/>
        <v>0.18609383751948225</v>
      </c>
      <c r="O13" s="23">
        <v>2.98279949705882E-2</v>
      </c>
      <c r="P13" s="1">
        <v>1.09999999891535E-6</v>
      </c>
      <c r="Q13" s="1">
        <f t="shared" si="1"/>
        <v>7.7997973383268941E-3</v>
      </c>
      <c r="R13" s="1">
        <f t="shared" si="2"/>
        <v>7.1758135512607433E-3</v>
      </c>
    </row>
    <row r="14" spans="2:20" x14ac:dyDescent="0.25">
      <c r="B14" s="1" t="s">
        <v>201</v>
      </c>
      <c r="C14" s="1">
        <v>7</v>
      </c>
      <c r="G14" s="198"/>
      <c r="H14" s="1">
        <v>2017</v>
      </c>
      <c r="I14" s="1">
        <v>221</v>
      </c>
      <c r="J14" s="1">
        <v>1908</v>
      </c>
      <c r="K14" s="1">
        <v>0.39</v>
      </c>
      <c r="L14" s="23">
        <v>0.33200000000000002</v>
      </c>
      <c r="M14" s="85">
        <v>4.3800000000000004E-6</v>
      </c>
      <c r="N14" s="43">
        <f t="shared" si="0"/>
        <v>6.9710198380952396E-2</v>
      </c>
      <c r="O14" s="23">
        <v>1.4999999999999999E-2</v>
      </c>
      <c r="P14" s="86">
        <v>5.5518310904472104E-7</v>
      </c>
      <c r="Q14" s="1">
        <f t="shared" si="1"/>
        <v>3.9267632404447238E-3</v>
      </c>
      <c r="R14" s="1">
        <f t="shared" si="2"/>
        <v>3.612622181209146E-3</v>
      </c>
    </row>
    <row r="15" spans="2:20" x14ac:dyDescent="0.25">
      <c r="B15" s="1" t="s">
        <v>192</v>
      </c>
      <c r="C15" s="39">
        <f>1/C13*C14*C16</f>
        <v>14.223160762942783</v>
      </c>
      <c r="G15" s="198"/>
      <c r="H15" s="1"/>
      <c r="I15" s="1"/>
      <c r="J15" s="1"/>
      <c r="K15" s="1"/>
      <c r="L15" s="1"/>
      <c r="M15" s="87" t="s">
        <v>236</v>
      </c>
      <c r="N15" s="88">
        <f>AVERAGE(N8:N14)</f>
        <v>0.22053913196611791</v>
      </c>
      <c r="O15" s="3"/>
      <c r="P15" s="43"/>
      <c r="Q15" s="88">
        <f>AVERAGE(Q8:Q14)</f>
        <v>9.7098809340430744E-3</v>
      </c>
      <c r="R15" s="88">
        <f>AVERAGE(R8:R14)</f>
        <v>8.9330904593196304E-3</v>
      </c>
      <c r="S15" s="90"/>
    </row>
    <row r="16" spans="2:20" x14ac:dyDescent="0.25">
      <c r="B16" s="1" t="s">
        <v>193</v>
      </c>
      <c r="C16" s="1">
        <v>0.74570000000000003</v>
      </c>
      <c r="G16" s="89"/>
      <c r="M16" s="82"/>
      <c r="N16" s="90"/>
      <c r="O16" s="2"/>
      <c r="P16" s="40"/>
      <c r="Q16" s="90"/>
      <c r="R16" s="90"/>
      <c r="S16" s="90"/>
    </row>
    <row r="17" spans="2:19" x14ac:dyDescent="0.25">
      <c r="B17" t="s">
        <v>198</v>
      </c>
      <c r="G17" s="89"/>
      <c r="N17" s="40"/>
      <c r="O17" s="2"/>
      <c r="P17" s="40"/>
      <c r="Q17" s="40"/>
      <c r="R17" s="40"/>
      <c r="S17" s="40"/>
    </row>
    <row r="18" spans="2:19" x14ac:dyDescent="0.25">
      <c r="B18" t="s">
        <v>159</v>
      </c>
      <c r="N18" s="1">
        <v>2030</v>
      </c>
      <c r="O18" s="2"/>
      <c r="P18" s="40"/>
      <c r="Q18" s="1">
        <v>2030</v>
      </c>
      <c r="R18" s="1">
        <v>2030</v>
      </c>
    </row>
    <row r="19" spans="2:19" x14ac:dyDescent="0.25">
      <c r="B19" s="81" t="s">
        <v>191</v>
      </c>
      <c r="G19" s="198" t="s">
        <v>105</v>
      </c>
      <c r="H19" s="4" t="s">
        <v>21</v>
      </c>
      <c r="I19" s="4" t="s">
        <v>230</v>
      </c>
      <c r="J19" s="4" t="s">
        <v>231</v>
      </c>
      <c r="K19" s="4" t="s">
        <v>232</v>
      </c>
      <c r="L19" s="4" t="s">
        <v>239</v>
      </c>
      <c r="M19" s="4" t="s">
        <v>240</v>
      </c>
      <c r="N19" s="4" t="s">
        <v>233</v>
      </c>
      <c r="O19" s="4" t="s">
        <v>241</v>
      </c>
      <c r="P19" s="4" t="s">
        <v>242</v>
      </c>
      <c r="Q19" s="4" t="s">
        <v>238</v>
      </c>
      <c r="R19" s="4" t="s">
        <v>243</v>
      </c>
      <c r="S19" s="5"/>
    </row>
    <row r="20" spans="2:19" x14ac:dyDescent="0.25">
      <c r="B20" s="81"/>
      <c r="G20" s="198"/>
      <c r="H20" s="4"/>
      <c r="I20" s="4"/>
      <c r="J20" s="4"/>
      <c r="K20" s="4"/>
      <c r="L20" s="4" t="s">
        <v>234</v>
      </c>
      <c r="M20" s="4"/>
      <c r="N20" s="4" t="s">
        <v>235</v>
      </c>
      <c r="O20" s="4"/>
      <c r="P20" s="4"/>
      <c r="Q20" s="4" t="s">
        <v>235</v>
      </c>
      <c r="R20" s="4" t="s">
        <v>237</v>
      </c>
      <c r="S20" s="5"/>
    </row>
    <row r="21" spans="2:19" x14ac:dyDescent="0.25">
      <c r="B21" t="s">
        <v>199</v>
      </c>
      <c r="G21" s="198"/>
      <c r="H21" s="1">
        <v>2010</v>
      </c>
      <c r="I21" s="1">
        <v>344</v>
      </c>
      <c r="J21" s="1">
        <v>2089</v>
      </c>
      <c r="K21" s="1">
        <v>0.59</v>
      </c>
      <c r="L21" s="23">
        <v>2.5504526448</v>
      </c>
      <c r="M21" s="1">
        <v>3.3099999997404398E-5</v>
      </c>
      <c r="N21" s="43">
        <f>I21*J21*K21*(L21+M21*$T$7)/453.6/2000</f>
        <v>1.3775969006329321</v>
      </c>
      <c r="O21" s="23">
        <v>0.110621847853659</v>
      </c>
      <c r="P21" s="1">
        <v>5.5799999926182298E-6</v>
      </c>
      <c r="Q21" s="1">
        <f>I21*J21*K21*(O21+P21*$T$7)/453.6/2000</f>
        <v>8.2993565583106235E-2</v>
      </c>
      <c r="R21" s="1">
        <f>Q21*0.92</f>
        <v>7.6354080336457741E-2</v>
      </c>
    </row>
    <row r="22" spans="2:19" x14ac:dyDescent="0.25">
      <c r="B22" s="1" t="s">
        <v>128</v>
      </c>
      <c r="C22" s="22">
        <f>C13/C14*C6/C16*1000</f>
        <v>717.84325370217823</v>
      </c>
      <c r="G22" s="198"/>
      <c r="H22" s="1">
        <v>2011</v>
      </c>
      <c r="I22" s="1">
        <v>344</v>
      </c>
      <c r="J22" s="1">
        <v>2089</v>
      </c>
      <c r="K22" s="1">
        <v>0.59</v>
      </c>
      <c r="L22" s="23">
        <v>1.23432190635294</v>
      </c>
      <c r="M22" s="1">
        <v>1.6100000004603599E-5</v>
      </c>
      <c r="N22" s="43">
        <f t="shared" ref="N22:N28" si="3">I22*J22*K22*(L22+M22*$T$7)/453.6/2000</f>
        <v>0.66715790184556834</v>
      </c>
      <c r="O22" s="23">
        <v>5.2632615450000003E-2</v>
      </c>
      <c r="P22" s="1">
        <v>1.9500000166721698E-6</v>
      </c>
      <c r="Q22" s="1">
        <f t="shared" ref="Q22:Q28" si="4">I22*J22*K22*(O22+P22*$T$7)/453.6/2000</f>
        <v>3.5534137935970933E-2</v>
      </c>
      <c r="R22" s="1">
        <f t="shared" ref="R22:R28" si="5">Q22*0.92</f>
        <v>3.2691406901093262E-2</v>
      </c>
    </row>
    <row r="23" spans="2:19" x14ac:dyDescent="0.25">
      <c r="B23" s="1" t="s">
        <v>125</v>
      </c>
      <c r="C23" s="23">
        <f>C13/C14*C7/C16</f>
        <v>2.9529301327611637E-2</v>
      </c>
      <c r="G23" s="198"/>
      <c r="H23" s="1">
        <v>2012</v>
      </c>
      <c r="I23" s="1">
        <v>344</v>
      </c>
      <c r="J23" s="1">
        <v>2089</v>
      </c>
      <c r="K23" s="1">
        <v>0.59</v>
      </c>
      <c r="L23" s="23">
        <v>1.23432190635294</v>
      </c>
      <c r="M23" s="1">
        <v>1.6100000004603599E-5</v>
      </c>
      <c r="N23" s="43">
        <f t="shared" si="3"/>
        <v>0.66715790184556834</v>
      </c>
      <c r="O23" s="23">
        <v>5.2632615450000003E-2</v>
      </c>
      <c r="P23" s="1">
        <v>1.9500000166721698E-6</v>
      </c>
      <c r="Q23" s="1">
        <f t="shared" si="4"/>
        <v>3.5534137935970933E-2</v>
      </c>
      <c r="R23" s="1">
        <f t="shared" si="5"/>
        <v>3.2691406901093262E-2</v>
      </c>
    </row>
    <row r="24" spans="2:19" x14ac:dyDescent="0.25">
      <c r="B24" s="1" t="s">
        <v>129</v>
      </c>
      <c r="C24" s="23">
        <f>C13/C14*C8/C16</f>
        <v>4.2184716182302344E-2</v>
      </c>
      <c r="G24" s="198"/>
      <c r="H24" s="1">
        <v>2013</v>
      </c>
      <c r="I24" s="1">
        <v>344</v>
      </c>
      <c r="J24" s="1">
        <v>2089</v>
      </c>
      <c r="K24" s="1">
        <v>0.59</v>
      </c>
      <c r="L24" s="23">
        <v>1.49716197022727</v>
      </c>
      <c r="M24" s="1">
        <v>1.9500000002960099E-5</v>
      </c>
      <c r="N24" s="43">
        <f t="shared" si="3"/>
        <v>0.80906526383288779</v>
      </c>
      <c r="O24" s="23">
        <v>4.5208054875000001E-2</v>
      </c>
      <c r="P24" s="1">
        <v>1.6699999953824599E-6</v>
      </c>
      <c r="Q24" s="1">
        <f t="shared" si="4"/>
        <v>3.0493931586990895E-2</v>
      </c>
      <c r="R24" s="1">
        <f t="shared" si="5"/>
        <v>2.8054417060031624E-2</v>
      </c>
    </row>
    <row r="25" spans="2:19" x14ac:dyDescent="0.25">
      <c r="B25" t="s">
        <v>202</v>
      </c>
      <c r="G25" s="198"/>
      <c r="H25" s="1">
        <v>2014</v>
      </c>
      <c r="I25" s="1">
        <v>344</v>
      </c>
      <c r="J25" s="1">
        <v>2089</v>
      </c>
      <c r="K25" s="1">
        <v>0.59</v>
      </c>
      <c r="L25" s="23">
        <v>0.97267227056250005</v>
      </c>
      <c r="M25" s="1">
        <v>1.27999999942427E-5</v>
      </c>
      <c r="N25" s="43">
        <f t="shared" si="3"/>
        <v>0.52636771563096063</v>
      </c>
      <c r="O25" s="23">
        <v>3.6456438296296301E-2</v>
      </c>
      <c r="P25" s="1">
        <v>1.350000010972E-6</v>
      </c>
      <c r="Q25" s="1">
        <f t="shared" si="4"/>
        <v>2.4609190810003088E-2</v>
      </c>
      <c r="R25" s="1">
        <f t="shared" si="5"/>
        <v>2.2640455545202842E-2</v>
      </c>
    </row>
    <row r="26" spans="2:19" x14ac:dyDescent="0.25">
      <c r="B26" t="s">
        <v>200</v>
      </c>
      <c r="G26" s="198"/>
      <c r="H26" s="1">
        <v>2015</v>
      </c>
      <c r="I26" s="1">
        <v>344</v>
      </c>
      <c r="J26" s="1">
        <v>2089</v>
      </c>
      <c r="K26" s="1">
        <v>0.59</v>
      </c>
      <c r="L26" s="23">
        <v>0.812616623657895</v>
      </c>
      <c r="M26" s="1">
        <v>1.06999999954954E-5</v>
      </c>
      <c r="N26" s="43">
        <f t="shared" si="3"/>
        <v>0.43978777025213972</v>
      </c>
      <c r="O26" s="23">
        <v>3.5360606870967697E-2</v>
      </c>
      <c r="P26" s="1">
        <v>1.30999999521976E-6</v>
      </c>
      <c r="Q26" s="1">
        <f t="shared" si="4"/>
        <v>2.3872719790696221E-2</v>
      </c>
      <c r="R26" s="1">
        <f t="shared" si="5"/>
        <v>2.1962902207440523E-2</v>
      </c>
    </row>
    <row r="27" spans="2:19" x14ac:dyDescent="0.25">
      <c r="G27" s="198"/>
      <c r="H27" s="1">
        <v>2016</v>
      </c>
      <c r="I27" s="1">
        <v>344</v>
      </c>
      <c r="J27" s="1">
        <v>2089</v>
      </c>
      <c r="K27" s="1">
        <v>0.59</v>
      </c>
      <c r="L27" s="23">
        <v>0.904128388666667</v>
      </c>
      <c r="M27" s="1">
        <v>1.1899999995612699E-5</v>
      </c>
      <c r="N27" s="43">
        <f t="shared" si="3"/>
        <v>0.48928604457476721</v>
      </c>
      <c r="O27" s="23">
        <v>3.8471334340909102E-2</v>
      </c>
      <c r="P27" s="1">
        <v>1.42000001258316E-6</v>
      </c>
      <c r="Q27" s="1">
        <f t="shared" si="4"/>
        <v>2.5943437562686716E-2</v>
      </c>
      <c r="R27" s="1">
        <f t="shared" si="5"/>
        <v>2.386796255767178E-2</v>
      </c>
    </row>
    <row r="28" spans="2:19" x14ac:dyDescent="0.25">
      <c r="G28" s="198"/>
      <c r="H28" s="1">
        <v>2017</v>
      </c>
      <c r="I28" s="1">
        <v>344</v>
      </c>
      <c r="J28" s="1">
        <v>2089</v>
      </c>
      <c r="K28" s="1">
        <v>0.59</v>
      </c>
      <c r="L28" s="23">
        <v>0.23100000000000001</v>
      </c>
      <c r="M28" s="85">
        <v>3.05E-6</v>
      </c>
      <c r="N28" s="43">
        <f t="shared" si="3"/>
        <v>0.12506389830687831</v>
      </c>
      <c r="O28" s="23">
        <v>2.1999999999999999E-2</v>
      </c>
      <c r="P28" s="86">
        <v>8.1399999999999996E-7</v>
      </c>
      <c r="Q28" s="1">
        <f t="shared" si="4"/>
        <v>1.4846898062081127E-2</v>
      </c>
      <c r="R28" s="1">
        <f t="shared" si="5"/>
        <v>1.3659146217114638E-2</v>
      </c>
    </row>
    <row r="29" spans="2:19" x14ac:dyDescent="0.25">
      <c r="G29" s="198"/>
      <c r="H29" s="1"/>
      <c r="I29" s="1"/>
      <c r="J29" s="1"/>
      <c r="K29" s="1"/>
      <c r="L29" s="1"/>
      <c r="M29" s="87" t="s">
        <v>236</v>
      </c>
      <c r="N29" s="91">
        <f>AVERAGE(N21:N28)</f>
        <v>0.63768542461521271</v>
      </c>
      <c r="O29" s="3"/>
      <c r="P29" s="43"/>
      <c r="Q29" s="88">
        <f>AVERAGE(Q21:Q28)</f>
        <v>3.422850240843827E-2</v>
      </c>
      <c r="R29" s="88">
        <f>AVERAGE(R21:R28)</f>
        <v>3.1490222215763204E-2</v>
      </c>
      <c r="S29" s="90"/>
    </row>
    <row r="31" spans="2:19" x14ac:dyDescent="0.25">
      <c r="G31" s="16" t="s">
        <v>246</v>
      </c>
    </row>
    <row r="32" spans="2:19" x14ac:dyDescent="0.25">
      <c r="G32" t="s">
        <v>244</v>
      </c>
    </row>
    <row r="33" spans="7:7" x14ac:dyDescent="0.25">
      <c r="G33" s="81" t="s">
        <v>245</v>
      </c>
    </row>
    <row r="34" spans="7:7" x14ac:dyDescent="0.25">
      <c r="G34" s="16" t="s">
        <v>317</v>
      </c>
    </row>
    <row r="35" spans="7:7" x14ac:dyDescent="0.25">
      <c r="G35" s="81" t="s">
        <v>247</v>
      </c>
    </row>
    <row r="36" spans="7:7" x14ac:dyDescent="0.25">
      <c r="G36" s="16" t="s">
        <v>248</v>
      </c>
    </row>
    <row r="37" spans="7:7" x14ac:dyDescent="0.25">
      <c r="G37" s="81" t="s">
        <v>247</v>
      </c>
    </row>
  </sheetData>
  <mergeCells count="2">
    <mergeCell ref="G6:G15"/>
    <mergeCell ref="G19:G29"/>
  </mergeCells>
  <hyperlinks>
    <hyperlink ref="B19" r:id="rId1" display="https://nepis.epa.gov/Exe/ZyNET.exe/P100UXEN.TXT?ZyActionD=ZyDocument&amp;Client=EPA&amp;Index=2016+Thru+2020&amp;Docs=&amp;Query=&amp;Time=&amp;EndTime=&amp;SearchMethod=1&amp;TocRestrict=n&amp;Toc=&amp;TocEntry=&amp;QField=&amp;QFieldYear=&amp;QFieldMonth=&amp;QFieldDay=&amp;IntQFieldOp=0&amp;ExtQFieldOp=0&amp;XmlQuery=&amp;File=D%3A%5Czyfiles%5CIndex%20Data%5C16thru20%5CTxt%5C00000008%5CP100UXEN.txt&amp;User=ANONYMOUS&amp;Password=anonymous&amp;SortMethod=h%7C-&amp;MaximumDocuments=1&amp;FuzzyDegree=0&amp;ImageQuality=r75g8/r75g8/x150y150g16/i425&amp;Display=hpfr&amp;DefSeekPage=x&amp;SearchBack=ZyActionL&amp;Back=ZyActionS&amp;BackDesc=Results%20page&amp;MaximumPages=1&amp;ZyEntry=1&amp;SeekPage=x&amp;ZyPURL" xr:uid="{00000000-0004-0000-0600-000000000000}"/>
    <hyperlink ref="B10" r:id="rId2" display="https://www.epa.gov/climateleadership/ghg-emission-factors-hub" xr:uid="{00000000-0004-0000-0600-000001000000}"/>
    <hyperlink ref="G33" r:id="rId3" xr:uid="{00000000-0004-0000-0600-000002000000}"/>
    <hyperlink ref="G35" r:id="rId4" xr:uid="{00000000-0004-0000-0600-000003000000}"/>
    <hyperlink ref="G37" r:id="rId5" xr:uid="{00000000-0004-0000-0600-000004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P213"/>
  <sheetViews>
    <sheetView topLeftCell="Q1" workbookViewId="0">
      <selection activeCell="BP20" sqref="BP20"/>
    </sheetView>
  </sheetViews>
  <sheetFormatPr defaultRowHeight="15" x14ac:dyDescent="0.25"/>
  <cols>
    <col min="1" max="1" width="10.7109375" customWidth="1"/>
    <col min="2" max="2" width="12" customWidth="1"/>
    <col min="3" max="3" width="22.28515625" customWidth="1"/>
    <col min="4" max="4" width="11.42578125" customWidth="1"/>
    <col min="5" max="6" width="8.85546875" customWidth="1"/>
    <col min="7" max="7" width="10" customWidth="1"/>
    <col min="8" max="9" width="9.7109375" customWidth="1"/>
    <col min="10" max="10" width="0" hidden="1" customWidth="1"/>
    <col min="12" max="12" width="0" hidden="1" customWidth="1"/>
    <col min="13" max="13" width="11.5703125" customWidth="1"/>
    <col min="14" max="14" width="11.42578125" customWidth="1"/>
    <col min="15" max="16" width="8.85546875" hidden="1" customWidth="1"/>
    <col min="17" max="17" width="13.7109375" customWidth="1"/>
    <col min="18" max="18" width="12.28515625" customWidth="1"/>
    <col min="19" max="20" width="8.85546875" hidden="1" customWidth="1"/>
    <col min="21" max="21" width="16.42578125" hidden="1" customWidth="1"/>
    <col min="22" max="23" width="8.85546875" hidden="1" customWidth="1"/>
    <col min="24" max="24" width="14.7109375" customWidth="1"/>
    <col min="25" max="25" width="12.28515625" customWidth="1"/>
    <col min="26" max="30" width="8.85546875" hidden="1" customWidth="1"/>
    <col min="31" max="31" width="12.85546875" customWidth="1"/>
    <col min="32" max="32" width="11.7109375" customWidth="1"/>
    <col min="33" max="34" width="8.85546875" hidden="1" customWidth="1"/>
    <col min="35" max="35" width="13.28515625" customWidth="1"/>
    <col min="36" max="36" width="12.140625" customWidth="1"/>
    <col min="37" max="38" width="8.85546875" hidden="1" customWidth="1"/>
    <col min="39" max="39" width="14.140625" customWidth="1"/>
    <col min="40" max="40" width="13" customWidth="1"/>
    <col min="41" max="67" width="8.85546875" hidden="1" customWidth="1"/>
    <col min="68" max="68" width="19.85546875" customWidth="1"/>
    <col min="69" max="71" width="8.85546875" customWidth="1"/>
  </cols>
  <sheetData>
    <row r="1" spans="1:68" x14ac:dyDescent="0.25">
      <c r="A1" t="s">
        <v>107</v>
      </c>
    </row>
    <row r="2" spans="1:68" x14ac:dyDescent="0.25">
      <c r="A2" t="s">
        <v>12</v>
      </c>
    </row>
    <row r="3" spans="1:68" x14ac:dyDescent="0.25">
      <c r="A3" t="s">
        <v>13</v>
      </c>
    </row>
    <row r="4" spans="1:68" x14ac:dyDescent="0.25">
      <c r="A4" t="s">
        <v>14</v>
      </c>
    </row>
    <row r="5" spans="1:68" x14ac:dyDescent="0.25">
      <c r="A5" t="s">
        <v>46</v>
      </c>
    </row>
    <row r="6" spans="1:68" x14ac:dyDescent="0.25">
      <c r="A6" t="s">
        <v>47</v>
      </c>
    </row>
    <row r="7" spans="1:68" x14ac:dyDescent="0.25">
      <c r="A7" t="s">
        <v>163</v>
      </c>
    </row>
    <row r="9" spans="1:68" x14ac:dyDescent="0.25">
      <c r="A9" t="s">
        <v>18</v>
      </c>
      <c r="B9" t="s">
        <v>19</v>
      </c>
      <c r="C9" t="s">
        <v>20</v>
      </c>
      <c r="D9" t="s">
        <v>21</v>
      </c>
      <c r="E9" t="s">
        <v>48</v>
      </c>
      <c r="F9" t="s">
        <v>9</v>
      </c>
      <c r="G9" t="s">
        <v>49</v>
      </c>
      <c r="H9" t="s">
        <v>50</v>
      </c>
      <c r="I9" t="s">
        <v>51</v>
      </c>
      <c r="J9" t="s">
        <v>52</v>
      </c>
      <c r="K9" t="s">
        <v>53</v>
      </c>
      <c r="L9" t="s">
        <v>95</v>
      </c>
      <c r="M9" t="s">
        <v>54</v>
      </c>
      <c r="N9" t="s">
        <v>55</v>
      </c>
      <c r="O9" t="s">
        <v>56</v>
      </c>
      <c r="P9" t="s">
        <v>108</v>
      </c>
      <c r="Q9" t="s">
        <v>57</v>
      </c>
      <c r="R9" t="s">
        <v>58</v>
      </c>
      <c r="S9" t="s">
        <v>59</v>
      </c>
      <c r="T9" t="s">
        <v>109</v>
      </c>
      <c r="U9" t="s">
        <v>60</v>
      </c>
      <c r="V9" t="s">
        <v>61</v>
      </c>
      <c r="W9" t="s">
        <v>110</v>
      </c>
      <c r="X9" t="s">
        <v>62</v>
      </c>
      <c r="Y9" t="s">
        <v>63</v>
      </c>
      <c r="Z9" t="s">
        <v>64</v>
      </c>
      <c r="AA9" t="s">
        <v>111</v>
      </c>
      <c r="AB9" t="s">
        <v>65</v>
      </c>
      <c r="AC9" t="s">
        <v>66</v>
      </c>
      <c r="AD9" t="s">
        <v>112</v>
      </c>
      <c r="AE9" t="s">
        <v>67</v>
      </c>
      <c r="AF9" t="s">
        <v>68</v>
      </c>
      <c r="AG9" t="s">
        <v>69</v>
      </c>
      <c r="AH9" t="s">
        <v>113</v>
      </c>
      <c r="AI9" t="s">
        <v>70</v>
      </c>
      <c r="AJ9" t="s">
        <v>71</v>
      </c>
      <c r="AK9" t="s">
        <v>72</v>
      </c>
      <c r="AL9" t="s">
        <v>114</v>
      </c>
      <c r="AM9" t="s">
        <v>73</v>
      </c>
      <c r="AN9" t="s">
        <v>74</v>
      </c>
      <c r="AO9" t="s">
        <v>75</v>
      </c>
      <c r="AP9" t="s">
        <v>115</v>
      </c>
      <c r="AQ9" t="s">
        <v>76</v>
      </c>
      <c r="AR9" t="s">
        <v>77</v>
      </c>
      <c r="AS9" t="s">
        <v>78</v>
      </c>
      <c r="AT9" t="s">
        <v>116</v>
      </c>
      <c r="AU9" t="s">
        <v>81</v>
      </c>
      <c r="AV9" t="s">
        <v>79</v>
      </c>
      <c r="AW9" t="s">
        <v>80</v>
      </c>
      <c r="AX9" t="s">
        <v>117</v>
      </c>
      <c r="AY9" t="s">
        <v>82</v>
      </c>
      <c r="AZ9" t="s">
        <v>83</v>
      </c>
      <c r="BA9" t="s">
        <v>84</v>
      </c>
      <c r="BB9" t="s">
        <v>118</v>
      </c>
      <c r="BC9" t="s">
        <v>87</v>
      </c>
      <c r="BD9" t="s">
        <v>85</v>
      </c>
      <c r="BE9" t="s">
        <v>86</v>
      </c>
      <c r="BF9" t="s">
        <v>119</v>
      </c>
      <c r="BG9" t="s">
        <v>89</v>
      </c>
      <c r="BH9" t="s">
        <v>90</v>
      </c>
      <c r="BI9" t="s">
        <v>91</v>
      </c>
      <c r="BJ9" t="s">
        <v>120</v>
      </c>
      <c r="BK9" t="s">
        <v>92</v>
      </c>
      <c r="BL9" t="s">
        <v>93</v>
      </c>
      <c r="BM9" t="s">
        <v>94</v>
      </c>
      <c r="BN9" t="s">
        <v>121</v>
      </c>
      <c r="BO9" t="s">
        <v>88</v>
      </c>
      <c r="BP9" t="s">
        <v>33</v>
      </c>
    </row>
    <row r="10" spans="1:68" x14ac:dyDescent="0.25">
      <c r="A10" t="s">
        <v>37</v>
      </c>
      <c r="B10">
        <v>2025</v>
      </c>
      <c r="C10" t="s">
        <v>164</v>
      </c>
      <c r="D10">
        <v>2010</v>
      </c>
      <c r="E10" t="s">
        <v>39</v>
      </c>
      <c r="F10" t="s">
        <v>10</v>
      </c>
      <c r="G10">
        <v>1.8401583990166901</v>
      </c>
      <c r="H10">
        <v>1151.97803610495</v>
      </c>
      <c r="I10">
        <v>1151.97803610495</v>
      </c>
      <c r="J10">
        <v>0</v>
      </c>
      <c r="K10">
        <v>8342.10047976633</v>
      </c>
      <c r="L10">
        <v>0</v>
      </c>
      <c r="M10">
        <v>8.9473150185805494E-3</v>
      </c>
      <c r="N10">
        <v>3.8672228912443603E-2</v>
      </c>
      <c r="O10">
        <v>3.4719443730088402E-3</v>
      </c>
      <c r="P10">
        <v>5.1091488304032998E-2</v>
      </c>
      <c r="Q10">
        <v>5.6110321664660101E-5</v>
      </c>
      <c r="R10">
        <v>8.9065301479061596E-6</v>
      </c>
      <c r="S10">
        <v>0</v>
      </c>
      <c r="T10">
        <v>6.5016851812566204E-5</v>
      </c>
      <c r="U10">
        <v>1.14285457722145E-5</v>
      </c>
      <c r="V10">
        <v>3.4664939813887797E-5</v>
      </c>
      <c r="W10">
        <v>1.11110337398668E-4</v>
      </c>
      <c r="X10">
        <v>5.86473814244712E-5</v>
      </c>
      <c r="Y10">
        <v>9.3092439190522792E-6</v>
      </c>
      <c r="Z10">
        <v>0</v>
      </c>
      <c r="AA10">
        <v>6.7956625343523503E-5</v>
      </c>
      <c r="AB10">
        <v>4.57141830888583E-5</v>
      </c>
      <c r="AC10">
        <v>9.9042685182536703E-5</v>
      </c>
      <c r="AD10">
        <v>2.1271349361491799E-4</v>
      </c>
      <c r="AE10">
        <v>2.0445345657923801</v>
      </c>
      <c r="AF10">
        <v>6.9216590616311704</v>
      </c>
      <c r="AG10">
        <v>0</v>
      </c>
      <c r="AH10">
        <v>8.9661936274235501</v>
      </c>
      <c r="AI10">
        <v>1.1001562461485601E-5</v>
      </c>
      <c r="AJ10">
        <v>1.0004090815226E-4</v>
      </c>
      <c r="AK10">
        <v>0</v>
      </c>
      <c r="AL10">
        <v>1.11042470613746E-4</v>
      </c>
      <c r="AM10">
        <v>3.2211725345510198E-4</v>
      </c>
      <c r="AN10">
        <v>1.0905102039305201E-3</v>
      </c>
      <c r="AO10">
        <v>0</v>
      </c>
      <c r="AP10">
        <v>1.4126274573856199E-3</v>
      </c>
      <c r="AQ10">
        <v>2.3686062292761699E-4</v>
      </c>
      <c r="AR10">
        <v>2.15385331912111E-3</v>
      </c>
      <c r="AS10">
        <v>0</v>
      </c>
      <c r="AT10">
        <v>2.3907139420487299E-3</v>
      </c>
      <c r="AU10">
        <v>0</v>
      </c>
      <c r="AV10">
        <v>0</v>
      </c>
      <c r="AW10">
        <v>0</v>
      </c>
      <c r="AX10">
        <v>2.3907139420487299E-3</v>
      </c>
      <c r="AY10">
        <v>2.6964778906723498E-4</v>
      </c>
      <c r="AZ10">
        <v>2.4519980497290802E-3</v>
      </c>
      <c r="BA10">
        <v>0</v>
      </c>
      <c r="BB10">
        <v>2.7216458387963102E-3</v>
      </c>
      <c r="BC10">
        <v>0</v>
      </c>
      <c r="BD10">
        <v>0</v>
      </c>
      <c r="BE10">
        <v>0</v>
      </c>
      <c r="BF10">
        <v>2.7216458387963102E-3</v>
      </c>
      <c r="BG10">
        <v>5.5948478871429403E-4</v>
      </c>
      <c r="BH10">
        <v>1.20602425621154E-2</v>
      </c>
      <c r="BI10">
        <v>0</v>
      </c>
      <c r="BJ10">
        <v>1.2619727350829699E-2</v>
      </c>
      <c r="BK10">
        <v>1.9360519728604599E-5</v>
      </c>
      <c r="BL10">
        <v>6.5543972236756698E-5</v>
      </c>
      <c r="BM10">
        <v>0</v>
      </c>
      <c r="BN10">
        <v>8.4904491965361297E-5</v>
      </c>
      <c r="BO10">
        <v>4.8253846097530499E-5</v>
      </c>
      <c r="BP10">
        <v>0.80094652495523599</v>
      </c>
    </row>
    <row r="11" spans="1:68" x14ac:dyDescent="0.25">
      <c r="A11" t="s">
        <v>37</v>
      </c>
      <c r="B11">
        <v>2025</v>
      </c>
      <c r="C11" t="s">
        <v>164</v>
      </c>
      <c r="D11">
        <v>2011</v>
      </c>
      <c r="E11" t="s">
        <v>39</v>
      </c>
      <c r="F11" t="s">
        <v>10</v>
      </c>
      <c r="G11">
        <v>1074.7383503598501</v>
      </c>
      <c r="H11">
        <v>20138916.9278097</v>
      </c>
      <c r="I11">
        <v>20138916.9278097</v>
      </c>
      <c r="J11">
        <v>0</v>
      </c>
      <c r="K11">
        <v>4872175.8479873696</v>
      </c>
      <c r="L11">
        <v>0</v>
      </c>
      <c r="M11">
        <v>93.494383057170495</v>
      </c>
      <c r="N11">
        <v>17.099834744846401</v>
      </c>
      <c r="O11">
        <v>11.2969048633821</v>
      </c>
      <c r="P11">
        <v>121.891122665399</v>
      </c>
      <c r="Q11">
        <v>1.0661631226721</v>
      </c>
      <c r="R11">
        <v>5.2018291054215697E-3</v>
      </c>
      <c r="S11">
        <v>0</v>
      </c>
      <c r="T11">
        <v>1.0713649517775199</v>
      </c>
      <c r="U11">
        <v>0.19979420327362099</v>
      </c>
      <c r="V11">
        <v>0.60510998454249398</v>
      </c>
      <c r="W11">
        <v>1.8762691395936399</v>
      </c>
      <c r="X11">
        <v>1.1143702880505499</v>
      </c>
      <c r="Y11">
        <v>5.4370327347939501E-3</v>
      </c>
      <c r="Z11">
        <v>0</v>
      </c>
      <c r="AA11">
        <v>1.1198073207853401</v>
      </c>
      <c r="AB11">
        <v>0.79917681309448496</v>
      </c>
      <c r="AC11">
        <v>1.7288856701214099</v>
      </c>
      <c r="AD11">
        <v>3.6478698040012398</v>
      </c>
      <c r="AE11">
        <v>33583.854641404803</v>
      </c>
      <c r="AF11">
        <v>3692.9704385505602</v>
      </c>
      <c r="AG11">
        <v>0</v>
      </c>
      <c r="AH11">
        <v>37276.825079955401</v>
      </c>
      <c r="AI11">
        <v>0.102161920552513</v>
      </c>
      <c r="AJ11">
        <v>5.9140735742763198E-2</v>
      </c>
      <c r="AK11">
        <v>0</v>
      </c>
      <c r="AL11">
        <v>0.16130265629527599</v>
      </c>
      <c r="AM11">
        <v>5.2911499754136502</v>
      </c>
      <c r="AN11">
        <v>0.58182899651577202</v>
      </c>
      <c r="AO11">
        <v>0</v>
      </c>
      <c r="AP11">
        <v>5.8729789719294203</v>
      </c>
      <c r="AQ11">
        <v>2.19951813447073</v>
      </c>
      <c r="AR11">
        <v>1.27328382286318</v>
      </c>
      <c r="AS11">
        <v>0</v>
      </c>
      <c r="AT11">
        <v>3.4728019573339202</v>
      </c>
      <c r="AU11">
        <v>0</v>
      </c>
      <c r="AV11">
        <v>0</v>
      </c>
      <c r="AW11">
        <v>0</v>
      </c>
      <c r="AX11">
        <v>3.4728019573339202</v>
      </c>
      <c r="AY11">
        <v>2.50398396594003</v>
      </c>
      <c r="AZ11">
        <v>1.4495367083242601</v>
      </c>
      <c r="BA11">
        <v>0</v>
      </c>
      <c r="BB11">
        <v>3.9535206742643001</v>
      </c>
      <c r="BC11">
        <v>0</v>
      </c>
      <c r="BD11">
        <v>0</v>
      </c>
      <c r="BE11">
        <v>0</v>
      </c>
      <c r="BF11">
        <v>3.9535206742643001</v>
      </c>
      <c r="BG11">
        <v>5.7948145667332103</v>
      </c>
      <c r="BH11">
        <v>16.300621810287499</v>
      </c>
      <c r="BI11">
        <v>0</v>
      </c>
      <c r="BJ11">
        <v>22.0954363770207</v>
      </c>
      <c r="BK11">
        <v>0.31801902067403598</v>
      </c>
      <c r="BL11">
        <v>3.4970221696888799E-2</v>
      </c>
      <c r="BM11">
        <v>0</v>
      </c>
      <c r="BN11">
        <v>0.35298924237092499</v>
      </c>
      <c r="BO11">
        <v>4.8838569025260901</v>
      </c>
      <c r="BP11">
        <v>3329.9240179061198</v>
      </c>
    </row>
    <row r="12" spans="1:68" x14ac:dyDescent="0.25">
      <c r="A12" t="s">
        <v>37</v>
      </c>
      <c r="B12">
        <v>2025</v>
      </c>
      <c r="C12" t="s">
        <v>164</v>
      </c>
      <c r="D12">
        <v>2012</v>
      </c>
      <c r="E12" t="s">
        <v>39</v>
      </c>
      <c r="F12" t="s">
        <v>10</v>
      </c>
      <c r="G12">
        <v>1764.9684745985701</v>
      </c>
      <c r="H12">
        <v>34135542.296071798</v>
      </c>
      <c r="I12">
        <v>34135542.296071798</v>
      </c>
      <c r="J12">
        <v>0</v>
      </c>
      <c r="K12">
        <v>8001237.4840061804</v>
      </c>
      <c r="L12">
        <v>0</v>
      </c>
      <c r="M12">
        <v>131.81371736167901</v>
      </c>
      <c r="N12">
        <v>24.792333009219401</v>
      </c>
      <c r="O12">
        <v>22.7897761683037</v>
      </c>
      <c r="P12">
        <v>179.395826539203</v>
      </c>
      <c r="Q12">
        <v>0.99842499345687596</v>
      </c>
      <c r="R12">
        <v>8.5426042331552005E-3</v>
      </c>
      <c r="S12">
        <v>0</v>
      </c>
      <c r="T12">
        <v>1.0069675976900301</v>
      </c>
      <c r="U12">
        <v>0.33865194939748</v>
      </c>
      <c r="V12">
        <v>1.0251926007815899</v>
      </c>
      <c r="W12">
        <v>2.3708121478691</v>
      </c>
      <c r="X12">
        <v>1.0435693412157001</v>
      </c>
      <c r="Y12">
        <v>8.9288628893336199E-3</v>
      </c>
      <c r="Z12">
        <v>0</v>
      </c>
      <c r="AA12">
        <v>1.0524982041050299</v>
      </c>
      <c r="AB12">
        <v>1.35460779758992</v>
      </c>
      <c r="AC12">
        <v>2.9291217165188299</v>
      </c>
      <c r="AD12">
        <v>5.3362277182137898</v>
      </c>
      <c r="AE12">
        <v>57102.1616226162</v>
      </c>
      <c r="AF12">
        <v>5904.9273501413099</v>
      </c>
      <c r="AG12">
        <v>0</v>
      </c>
      <c r="AH12">
        <v>63007.0889727576</v>
      </c>
      <c r="AI12">
        <v>3.5725088557721198E-2</v>
      </c>
      <c r="AJ12">
        <v>9.7448236414629297E-2</v>
      </c>
      <c r="AK12">
        <v>0</v>
      </c>
      <c r="AL12">
        <v>0.13317332497234999</v>
      </c>
      <c r="AM12">
        <v>8.9964688178787799</v>
      </c>
      <c r="AN12">
        <v>0.93032370873234105</v>
      </c>
      <c r="AO12">
        <v>0</v>
      </c>
      <c r="AP12">
        <v>9.9267925266111199</v>
      </c>
      <c r="AQ12">
        <v>0.76915136004995099</v>
      </c>
      <c r="AR12">
        <v>2.0980338075769902</v>
      </c>
      <c r="AS12">
        <v>0</v>
      </c>
      <c r="AT12">
        <v>2.86718516762694</v>
      </c>
      <c r="AU12">
        <v>0</v>
      </c>
      <c r="AV12">
        <v>0</v>
      </c>
      <c r="AW12">
        <v>0</v>
      </c>
      <c r="AX12">
        <v>2.86718516762694</v>
      </c>
      <c r="AY12">
        <v>0.87562027462414305</v>
      </c>
      <c r="AZ12">
        <v>2.3884517848892601</v>
      </c>
      <c r="BA12">
        <v>0</v>
      </c>
      <c r="BB12">
        <v>3.2640720595134001</v>
      </c>
      <c r="BC12">
        <v>0</v>
      </c>
      <c r="BD12">
        <v>0</v>
      </c>
      <c r="BE12">
        <v>0</v>
      </c>
      <c r="BF12">
        <v>3.2640720595134001</v>
      </c>
      <c r="BG12">
        <v>6.4987164634317898</v>
      </c>
      <c r="BH12">
        <v>31.000169247339699</v>
      </c>
      <c r="BI12">
        <v>0</v>
      </c>
      <c r="BJ12">
        <v>37.498885710771503</v>
      </c>
      <c r="BK12">
        <v>0.54072332409414303</v>
      </c>
      <c r="BL12">
        <v>5.5916130923460802E-2</v>
      </c>
      <c r="BM12">
        <v>0</v>
      </c>
      <c r="BN12">
        <v>0.59663945501760396</v>
      </c>
      <c r="BO12">
        <v>8.2781563905221205</v>
      </c>
      <c r="BP12">
        <v>5628.3982989085698</v>
      </c>
    </row>
    <row r="13" spans="1:68" x14ac:dyDescent="0.25">
      <c r="A13" t="s">
        <v>37</v>
      </c>
      <c r="B13">
        <v>2025</v>
      </c>
      <c r="C13" t="s">
        <v>164</v>
      </c>
      <c r="D13">
        <v>2013</v>
      </c>
      <c r="E13" t="s">
        <v>39</v>
      </c>
      <c r="F13" t="s">
        <v>10</v>
      </c>
      <c r="G13">
        <v>1720.35791110325</v>
      </c>
      <c r="H13">
        <v>34340611.146956697</v>
      </c>
      <c r="I13">
        <v>34340611.146956697</v>
      </c>
      <c r="J13">
        <v>0</v>
      </c>
      <c r="K13">
        <v>7799001.7398790196</v>
      </c>
      <c r="L13">
        <v>0</v>
      </c>
      <c r="M13">
        <v>122.998144125564</v>
      </c>
      <c r="N13">
        <v>24.165692952004498</v>
      </c>
      <c r="O13">
        <v>31.901671995704699</v>
      </c>
      <c r="P13">
        <v>179.065509073274</v>
      </c>
      <c r="Q13">
        <v>0.95932618940668102</v>
      </c>
      <c r="R13">
        <v>8.3266851422234191E-3</v>
      </c>
      <c r="S13">
        <v>0</v>
      </c>
      <c r="T13">
        <v>0.96765287454890403</v>
      </c>
      <c r="U13">
        <v>0.34068639682211799</v>
      </c>
      <c r="V13">
        <v>1.0316783288836999</v>
      </c>
      <c r="W13">
        <v>2.3400176002547202</v>
      </c>
      <c r="X13">
        <v>1.00270266274473</v>
      </c>
      <c r="Y13">
        <v>8.7031808952366795E-3</v>
      </c>
      <c r="Z13">
        <v>0</v>
      </c>
      <c r="AA13">
        <v>1.01140584363996</v>
      </c>
      <c r="AB13">
        <v>1.36274558728847</v>
      </c>
      <c r="AC13">
        <v>2.9476523682391398</v>
      </c>
      <c r="AD13">
        <v>5.3218037991675802</v>
      </c>
      <c r="AE13">
        <v>53920.296963711997</v>
      </c>
      <c r="AF13">
        <v>5755.6770149200802</v>
      </c>
      <c r="AG13">
        <v>0</v>
      </c>
      <c r="AH13">
        <v>59675.973978632101</v>
      </c>
      <c r="AI13">
        <v>3.5333564415959903E-2</v>
      </c>
      <c r="AJ13">
        <v>9.4985177838429705E-2</v>
      </c>
      <c r="AK13">
        <v>0</v>
      </c>
      <c r="AL13">
        <v>0.130318742254389</v>
      </c>
      <c r="AM13">
        <v>8.4951647450885694</v>
      </c>
      <c r="AN13">
        <v>0.90680925763765596</v>
      </c>
      <c r="AO13">
        <v>0</v>
      </c>
      <c r="AP13">
        <v>9.4019740027262309</v>
      </c>
      <c r="AQ13">
        <v>0.76072195264228204</v>
      </c>
      <c r="AR13">
        <v>2.0450048318557501</v>
      </c>
      <c r="AS13">
        <v>0</v>
      </c>
      <c r="AT13">
        <v>2.80572678449803</v>
      </c>
      <c r="AU13">
        <v>0</v>
      </c>
      <c r="AV13">
        <v>0</v>
      </c>
      <c r="AW13">
        <v>0</v>
      </c>
      <c r="AX13">
        <v>2.80572678449803</v>
      </c>
      <c r="AY13">
        <v>0.86602403594786603</v>
      </c>
      <c r="AZ13">
        <v>2.3280823326645899</v>
      </c>
      <c r="BA13">
        <v>0</v>
      </c>
      <c r="BB13">
        <v>3.1941063686124598</v>
      </c>
      <c r="BC13">
        <v>0</v>
      </c>
      <c r="BD13">
        <v>0</v>
      </c>
      <c r="BE13">
        <v>0</v>
      </c>
      <c r="BF13">
        <v>3.1941063686124598</v>
      </c>
      <c r="BG13">
        <v>6.4390105852582504</v>
      </c>
      <c r="BH13">
        <v>30.216622663660001</v>
      </c>
      <c r="BI13">
        <v>0</v>
      </c>
      <c r="BJ13">
        <v>36.6556332489182</v>
      </c>
      <c r="BK13">
        <v>0.51059296849480396</v>
      </c>
      <c r="BL13">
        <v>5.4502819498994097E-2</v>
      </c>
      <c r="BM13">
        <v>0</v>
      </c>
      <c r="BN13">
        <v>0.565095787993798</v>
      </c>
      <c r="BO13">
        <v>8.3278873133158804</v>
      </c>
      <c r="BP13">
        <v>5330.8311160394896</v>
      </c>
    </row>
    <row r="14" spans="1:68" x14ac:dyDescent="0.25">
      <c r="A14" t="s">
        <v>37</v>
      </c>
      <c r="B14">
        <v>2025</v>
      </c>
      <c r="C14" t="s">
        <v>164</v>
      </c>
      <c r="D14">
        <v>2014</v>
      </c>
      <c r="E14" t="s">
        <v>39</v>
      </c>
      <c r="F14" t="s">
        <v>10</v>
      </c>
      <c r="G14">
        <v>1925.35460868527</v>
      </c>
      <c r="H14">
        <v>39686102.167313099</v>
      </c>
      <c r="I14">
        <v>39686102.167313099</v>
      </c>
      <c r="J14">
        <v>0</v>
      </c>
      <c r="K14">
        <v>8728325.5688294694</v>
      </c>
      <c r="L14">
        <v>0</v>
      </c>
      <c r="M14">
        <v>57.200468077183402</v>
      </c>
      <c r="N14">
        <v>27.045260754709702</v>
      </c>
      <c r="O14">
        <v>35.703053885052697</v>
      </c>
      <c r="P14">
        <v>119.948782716945</v>
      </c>
      <c r="Q14">
        <v>1.3037997533897301</v>
      </c>
      <c r="R14">
        <v>9.3188873723200998E-3</v>
      </c>
      <c r="S14">
        <v>0</v>
      </c>
      <c r="T14">
        <v>1.3131186407620501</v>
      </c>
      <c r="U14">
        <v>0.39371795374977098</v>
      </c>
      <c r="V14">
        <v>1.1927793065977199</v>
      </c>
      <c r="W14">
        <v>2.8996159011095402</v>
      </c>
      <c r="X14">
        <v>1.3627517927122901</v>
      </c>
      <c r="Y14">
        <v>9.7402461073461503E-3</v>
      </c>
      <c r="Z14">
        <v>0</v>
      </c>
      <c r="AA14">
        <v>1.37249203881964</v>
      </c>
      <c r="AB14">
        <v>1.5748718149990799</v>
      </c>
      <c r="AC14">
        <v>3.4079408759934902</v>
      </c>
      <c r="AD14">
        <v>6.3553047298122101</v>
      </c>
      <c r="AE14">
        <v>70197.415349105606</v>
      </c>
      <c r="AF14">
        <v>5606.4671836977104</v>
      </c>
      <c r="AG14">
        <v>0</v>
      </c>
      <c r="AH14">
        <v>75803.882532803298</v>
      </c>
      <c r="AI14">
        <v>1.99628409988339E-2</v>
      </c>
      <c r="AJ14">
        <v>0.106303548074325</v>
      </c>
      <c r="AK14">
        <v>0</v>
      </c>
      <c r="AL14">
        <v>0.12626638907315901</v>
      </c>
      <c r="AM14">
        <v>11.059631375387101</v>
      </c>
      <c r="AN14">
        <v>0.88330118796448698</v>
      </c>
      <c r="AO14">
        <v>0</v>
      </c>
      <c r="AP14">
        <v>11.942932563351601</v>
      </c>
      <c r="AQ14">
        <v>0.42979449245887102</v>
      </c>
      <c r="AR14">
        <v>2.28868623929083</v>
      </c>
      <c r="AS14">
        <v>0</v>
      </c>
      <c r="AT14">
        <v>2.7184807317497</v>
      </c>
      <c r="AU14">
        <v>0</v>
      </c>
      <c r="AV14">
        <v>0</v>
      </c>
      <c r="AW14">
        <v>0</v>
      </c>
      <c r="AX14">
        <v>2.7184807317497</v>
      </c>
      <c r="AY14">
        <v>0.48928831315378601</v>
      </c>
      <c r="AZ14">
        <v>2.6054950656866702</v>
      </c>
      <c r="BA14">
        <v>0</v>
      </c>
      <c r="BB14">
        <v>3.0947833788404502</v>
      </c>
      <c r="BC14">
        <v>0</v>
      </c>
      <c r="BD14">
        <v>0</v>
      </c>
      <c r="BE14">
        <v>0</v>
      </c>
      <c r="BF14">
        <v>3.0947833788404502</v>
      </c>
      <c r="BG14">
        <v>3.2918030429462402</v>
      </c>
      <c r="BH14">
        <v>33.8172152020813</v>
      </c>
      <c r="BI14">
        <v>0</v>
      </c>
      <c r="BJ14">
        <v>37.109018245027499</v>
      </c>
      <c r="BK14">
        <v>0.66472754606459505</v>
      </c>
      <c r="BL14">
        <v>5.3089891623175602E-2</v>
      </c>
      <c r="BM14">
        <v>0</v>
      </c>
      <c r="BN14">
        <v>0.71781743768777095</v>
      </c>
      <c r="BO14">
        <v>9.6242138889078692</v>
      </c>
      <c r="BP14">
        <v>6771.5307984275896</v>
      </c>
    </row>
    <row r="15" spans="1:68" x14ac:dyDescent="0.25">
      <c r="A15" t="s">
        <v>37</v>
      </c>
      <c r="B15">
        <v>2025</v>
      </c>
      <c r="C15" t="s">
        <v>164</v>
      </c>
      <c r="D15">
        <v>2015</v>
      </c>
      <c r="E15" t="s">
        <v>39</v>
      </c>
      <c r="F15" t="s">
        <v>10</v>
      </c>
      <c r="G15">
        <v>2076.5636431134799</v>
      </c>
      <c r="H15">
        <v>44244679.845908098</v>
      </c>
      <c r="I15">
        <v>44244679.845908098</v>
      </c>
      <c r="J15">
        <v>0</v>
      </c>
      <c r="K15">
        <v>9413810.5571449306</v>
      </c>
      <c r="L15">
        <v>0</v>
      </c>
      <c r="M15">
        <v>62.872070839534402</v>
      </c>
      <c r="N15">
        <v>29.1692787128204</v>
      </c>
      <c r="O15">
        <v>38.507017518423801</v>
      </c>
      <c r="P15">
        <v>130.548367070778</v>
      </c>
      <c r="Q15">
        <v>1.4191395220644301</v>
      </c>
      <c r="R15">
        <v>1.00507525337596E-2</v>
      </c>
      <c r="S15">
        <v>0</v>
      </c>
      <c r="T15">
        <v>1.4291902745981899</v>
      </c>
      <c r="U15">
        <v>0.43894269938135499</v>
      </c>
      <c r="V15">
        <v>1.32845387795624</v>
      </c>
      <c r="W15">
        <v>3.1965868519357898</v>
      </c>
      <c r="X15">
        <v>1.4833067139138201</v>
      </c>
      <c r="Y15">
        <v>1.05052029637823E-2</v>
      </c>
      <c r="Z15">
        <v>0</v>
      </c>
      <c r="AA15">
        <v>1.4938119168776101</v>
      </c>
      <c r="AB15">
        <v>1.75577079752542</v>
      </c>
      <c r="AC15">
        <v>3.7955825084464201</v>
      </c>
      <c r="AD15">
        <v>7.0451652228494499</v>
      </c>
      <c r="AE15">
        <v>78251.524931407999</v>
      </c>
      <c r="AF15">
        <v>6046.7748992614597</v>
      </c>
      <c r="AG15">
        <v>0</v>
      </c>
      <c r="AH15">
        <v>84298.299830669494</v>
      </c>
      <c r="AI15">
        <v>2.19306692657797E-2</v>
      </c>
      <c r="AJ15">
        <v>0.114652169563635</v>
      </c>
      <c r="AK15">
        <v>0</v>
      </c>
      <c r="AL15">
        <v>0.13658283882941499</v>
      </c>
      <c r="AM15">
        <v>12.328559620027599</v>
      </c>
      <c r="AN15">
        <v>0.95267184786209502</v>
      </c>
      <c r="AO15">
        <v>0</v>
      </c>
      <c r="AP15">
        <v>13.2812314678897</v>
      </c>
      <c r="AQ15">
        <v>0.47216129542482099</v>
      </c>
      <c r="AR15">
        <v>2.46842977058173</v>
      </c>
      <c r="AS15">
        <v>0</v>
      </c>
      <c r="AT15">
        <v>2.94059106600655</v>
      </c>
      <c r="AU15">
        <v>0</v>
      </c>
      <c r="AV15">
        <v>0</v>
      </c>
      <c r="AW15">
        <v>0</v>
      </c>
      <c r="AX15">
        <v>2.94059106600655</v>
      </c>
      <c r="AY15">
        <v>0.53751969331488103</v>
      </c>
      <c r="AZ15">
        <v>2.8101193937521098</v>
      </c>
      <c r="BA15">
        <v>0</v>
      </c>
      <c r="BB15">
        <v>3.3476390870669901</v>
      </c>
      <c r="BC15">
        <v>0</v>
      </c>
      <c r="BD15">
        <v>0</v>
      </c>
      <c r="BE15">
        <v>0</v>
      </c>
      <c r="BF15">
        <v>3.3476390870669901</v>
      </c>
      <c r="BG15">
        <v>3.60681473000386</v>
      </c>
      <c r="BH15">
        <v>36.473073211141397</v>
      </c>
      <c r="BI15">
        <v>0</v>
      </c>
      <c r="BJ15">
        <v>40.079887941145302</v>
      </c>
      <c r="BK15">
        <v>0.74099514753900597</v>
      </c>
      <c r="BL15">
        <v>5.72593423903359E-2</v>
      </c>
      <c r="BM15">
        <v>0</v>
      </c>
      <c r="BN15">
        <v>0.798254489929342</v>
      </c>
      <c r="BO15">
        <v>10.7297073541777</v>
      </c>
      <c r="BP15">
        <v>7530.3337307484499</v>
      </c>
    </row>
    <row r="16" spans="1:68" x14ac:dyDescent="0.25">
      <c r="A16" t="s">
        <v>37</v>
      </c>
      <c r="B16">
        <v>2025</v>
      </c>
      <c r="C16" t="s">
        <v>164</v>
      </c>
      <c r="D16">
        <v>2016</v>
      </c>
      <c r="E16" t="s">
        <v>39</v>
      </c>
      <c r="F16" t="s">
        <v>10</v>
      </c>
      <c r="G16">
        <v>2629.2888419526698</v>
      </c>
      <c r="H16">
        <v>57899727.483855903</v>
      </c>
      <c r="I16">
        <v>57899727.483855903</v>
      </c>
      <c r="J16">
        <v>0</v>
      </c>
      <c r="K16">
        <v>11919512.8645545</v>
      </c>
      <c r="L16">
        <v>0</v>
      </c>
      <c r="M16">
        <v>80.975670871800702</v>
      </c>
      <c r="N16">
        <v>36.933353476436302</v>
      </c>
      <c r="O16">
        <v>57.538152350829499</v>
      </c>
      <c r="P16">
        <v>175.44717669906601</v>
      </c>
      <c r="Q16">
        <v>1.7982994941963799</v>
      </c>
      <c r="R16">
        <v>1.2725991605352101E-2</v>
      </c>
      <c r="S16">
        <v>0</v>
      </c>
      <c r="T16">
        <v>1.8110254858017301</v>
      </c>
      <c r="U16">
        <v>0.57441172054404599</v>
      </c>
      <c r="V16">
        <v>1.7398275503166001</v>
      </c>
      <c r="W16">
        <v>4.1252647566623803</v>
      </c>
      <c r="X16">
        <v>1.87961061748812</v>
      </c>
      <c r="Y16">
        <v>1.33014044749948E-2</v>
      </c>
      <c r="Z16">
        <v>0</v>
      </c>
      <c r="AA16">
        <v>1.8929120219631099</v>
      </c>
      <c r="AB16">
        <v>2.29764688217618</v>
      </c>
      <c r="AC16">
        <v>4.9709358580474303</v>
      </c>
      <c r="AD16">
        <v>9.1614947621867309</v>
      </c>
      <c r="AE16">
        <v>102411.276424772</v>
      </c>
      <c r="AF16">
        <v>7656.2631851678098</v>
      </c>
      <c r="AG16">
        <v>0</v>
      </c>
      <c r="AH16">
        <v>110067.53960993999</v>
      </c>
      <c r="AI16">
        <v>2.8248247834530199E-2</v>
      </c>
      <c r="AJ16">
        <v>0.14516948283239201</v>
      </c>
      <c r="AK16">
        <v>0</v>
      </c>
      <c r="AL16">
        <v>0.17341773066692201</v>
      </c>
      <c r="AM16">
        <v>16.134938306603701</v>
      </c>
      <c r="AN16">
        <v>1.20624738275327</v>
      </c>
      <c r="AO16">
        <v>0</v>
      </c>
      <c r="AP16">
        <v>17.341185689357001</v>
      </c>
      <c r="AQ16">
        <v>0.60817702959230602</v>
      </c>
      <c r="AR16">
        <v>3.1254591567457499</v>
      </c>
      <c r="AS16">
        <v>0</v>
      </c>
      <c r="AT16">
        <v>3.7336361863380598</v>
      </c>
      <c r="AU16">
        <v>0</v>
      </c>
      <c r="AV16">
        <v>0</v>
      </c>
      <c r="AW16">
        <v>0</v>
      </c>
      <c r="AX16">
        <v>3.7336361863380598</v>
      </c>
      <c r="AY16">
        <v>0.69236325297159496</v>
      </c>
      <c r="AZ16">
        <v>3.55809733597627</v>
      </c>
      <c r="BA16">
        <v>0</v>
      </c>
      <c r="BB16">
        <v>4.2504605889478704</v>
      </c>
      <c r="BC16">
        <v>0</v>
      </c>
      <c r="BD16">
        <v>0</v>
      </c>
      <c r="BE16">
        <v>0</v>
      </c>
      <c r="BF16">
        <v>4.2504605889478704</v>
      </c>
      <c r="BG16">
        <v>4.6552850156949201</v>
      </c>
      <c r="BH16">
        <v>46.181220953089998</v>
      </c>
      <c r="BI16">
        <v>0</v>
      </c>
      <c r="BJ16">
        <v>50.836505968784898</v>
      </c>
      <c r="BK16">
        <v>0.96977354691235595</v>
      </c>
      <c r="BL16">
        <v>7.2500234001366903E-2</v>
      </c>
      <c r="BM16">
        <v>0</v>
      </c>
      <c r="BN16">
        <v>1.0422737809137199</v>
      </c>
      <c r="BO16">
        <v>14.041171366863701</v>
      </c>
      <c r="BP16">
        <v>9832.2897122495997</v>
      </c>
    </row>
    <row r="17" spans="1:68" x14ac:dyDescent="0.25">
      <c r="A17" t="s">
        <v>37</v>
      </c>
      <c r="B17">
        <v>2025</v>
      </c>
      <c r="C17" t="s">
        <v>164</v>
      </c>
      <c r="D17">
        <v>2017</v>
      </c>
      <c r="E17" t="s">
        <v>39</v>
      </c>
      <c r="F17" t="s">
        <v>10</v>
      </c>
      <c r="G17">
        <v>1655.2897525604101</v>
      </c>
      <c r="H17">
        <v>37696318.870953403</v>
      </c>
      <c r="I17">
        <v>37696318.870953403</v>
      </c>
      <c r="J17">
        <v>0</v>
      </c>
      <c r="K17">
        <v>7504024.3526672702</v>
      </c>
      <c r="L17">
        <v>0</v>
      </c>
      <c r="M17">
        <v>51.694456064279102</v>
      </c>
      <c r="N17">
        <v>23.2516871337093</v>
      </c>
      <c r="O17">
        <v>36.223602537656099</v>
      </c>
      <c r="P17">
        <v>111.169745735644</v>
      </c>
      <c r="Q17">
        <v>0.92575837677856598</v>
      </c>
      <c r="R17">
        <v>8.0117494736200098E-3</v>
      </c>
      <c r="S17">
        <v>0</v>
      </c>
      <c r="T17">
        <v>0.93377012625218603</v>
      </c>
      <c r="U17">
        <v>0.37397770804497898</v>
      </c>
      <c r="V17">
        <v>1.1326201510684299</v>
      </c>
      <c r="W17">
        <v>2.4403679853656</v>
      </c>
      <c r="X17">
        <v>0.96761706258453695</v>
      </c>
      <c r="Y17">
        <v>8.3740052332053495E-3</v>
      </c>
      <c r="Z17">
        <v>0</v>
      </c>
      <c r="AA17">
        <v>0.97599106781774203</v>
      </c>
      <c r="AB17">
        <v>1.4959108321799099</v>
      </c>
      <c r="AC17">
        <v>3.2360575744812499</v>
      </c>
      <c r="AD17">
        <v>5.7079594744789102</v>
      </c>
      <c r="AE17">
        <v>69496.031862073301</v>
      </c>
      <c r="AF17">
        <v>4681.3939956211998</v>
      </c>
      <c r="AG17">
        <v>0</v>
      </c>
      <c r="AH17">
        <v>74177.425857694499</v>
      </c>
      <c r="AI17">
        <v>1.8865344175974401E-2</v>
      </c>
      <c r="AJ17">
        <v>9.1392605286566397E-2</v>
      </c>
      <c r="AK17">
        <v>0</v>
      </c>
      <c r="AL17">
        <v>0.11025794946254</v>
      </c>
      <c r="AM17">
        <v>10.949128121374301</v>
      </c>
      <c r="AN17">
        <v>0.73755553045701805</v>
      </c>
      <c r="AO17">
        <v>0</v>
      </c>
      <c r="AP17">
        <v>11.6866836518314</v>
      </c>
      <c r="AQ17">
        <v>0.406165686820252</v>
      </c>
      <c r="AR17">
        <v>1.96765772997582</v>
      </c>
      <c r="AS17">
        <v>0</v>
      </c>
      <c r="AT17">
        <v>2.3738234167960699</v>
      </c>
      <c r="AU17">
        <v>0</v>
      </c>
      <c r="AV17">
        <v>0</v>
      </c>
      <c r="AW17">
        <v>0</v>
      </c>
      <c r="AX17">
        <v>2.3738234167960699</v>
      </c>
      <c r="AY17">
        <v>0.46238871658935299</v>
      </c>
      <c r="AZ17">
        <v>2.2400285449353601</v>
      </c>
      <c r="BA17">
        <v>0</v>
      </c>
      <c r="BB17">
        <v>2.70241726152471</v>
      </c>
      <c r="BC17">
        <v>0</v>
      </c>
      <c r="BD17">
        <v>0</v>
      </c>
      <c r="BE17">
        <v>0</v>
      </c>
      <c r="BF17">
        <v>2.70241726152471</v>
      </c>
      <c r="BG17">
        <v>1.6908174375545699</v>
      </c>
      <c r="BH17">
        <v>29.073755832625199</v>
      </c>
      <c r="BI17">
        <v>0</v>
      </c>
      <c r="BJ17">
        <v>30.764573270179799</v>
      </c>
      <c r="BK17">
        <v>0.65808586386210199</v>
      </c>
      <c r="BL17">
        <v>4.4330001715803397E-2</v>
      </c>
      <c r="BM17">
        <v>0</v>
      </c>
      <c r="BN17">
        <v>0.70241586557790503</v>
      </c>
      <c r="BO17">
        <v>9.1416746877535999</v>
      </c>
      <c r="BP17">
        <v>6626.2400679291704</v>
      </c>
    </row>
    <row r="18" spans="1:68" x14ac:dyDescent="0.25">
      <c r="A18" t="s">
        <v>106</v>
      </c>
      <c r="M18" s="75">
        <f>SUM(M10:M17)*453.6*2000/SUM($H$10:$H$17)</f>
        <v>2.033540257928296</v>
      </c>
      <c r="O18">
        <f t="shared" ref="O18:AM18" si="0">SUM(O10:O17)*453.6*2000/SUM($H$10:$H$17)</f>
        <v>0.7915619064487307</v>
      </c>
      <c r="P18">
        <f t="shared" si="0"/>
        <v>3.4425355577931245</v>
      </c>
      <c r="Q18" s="74">
        <f t="shared" si="0"/>
        <v>2.8659559708745282E-2</v>
      </c>
      <c r="R18" s="74"/>
      <c r="S18" s="74">
        <f t="shared" si="0"/>
        <v>0</v>
      </c>
      <c r="T18" s="74">
        <f t="shared" si="0"/>
        <v>2.8869956415162743E-2</v>
      </c>
      <c r="U18" s="74">
        <f t="shared" si="0"/>
        <v>9.0001513914354375E-3</v>
      </c>
      <c r="V18" s="74">
        <f t="shared" si="0"/>
        <v>2.7254585989036854E-2</v>
      </c>
      <c r="W18" s="74">
        <f t="shared" si="0"/>
        <v>6.5124693795635083E-2</v>
      </c>
      <c r="X18" s="74">
        <f t="shared" si="0"/>
        <v>2.9955417823862029E-2</v>
      </c>
      <c r="Y18" s="74"/>
      <c r="Z18" s="74">
        <f t="shared" si="0"/>
        <v>0</v>
      </c>
      <c r="AA18" s="74">
        <f t="shared" si="0"/>
        <v>3.017532773572212E-2</v>
      </c>
      <c r="AB18" s="74">
        <f t="shared" si="0"/>
        <v>3.6000605565741702E-2</v>
      </c>
      <c r="AC18" s="74">
        <f t="shared" si="0"/>
        <v>7.787024568296258E-2</v>
      </c>
      <c r="AD18" s="74">
        <f t="shared" si="0"/>
        <v>0.14404617898442656</v>
      </c>
      <c r="AE18" s="73">
        <f t="shared" si="0"/>
        <v>1573.1002154801413</v>
      </c>
      <c r="AF18" s="74"/>
      <c r="AG18" s="74">
        <f t="shared" si="0"/>
        <v>0</v>
      </c>
      <c r="AH18" s="74">
        <f t="shared" si="0"/>
        <v>1706.2365623202481</v>
      </c>
      <c r="AI18" s="74">
        <f t="shared" si="0"/>
        <v>8.8722391823454106E-4</v>
      </c>
      <c r="AJ18" s="74"/>
      <c r="AK18" s="74">
        <f t="shared" si="0"/>
        <v>0</v>
      </c>
      <c r="AL18" s="74">
        <f t="shared" si="0"/>
        <v>3.2866110276547861E-3</v>
      </c>
      <c r="AM18" s="74">
        <f t="shared" si="0"/>
        <v>0.24784257957688588</v>
      </c>
      <c r="AN18" s="74"/>
    </row>
    <row r="19" spans="1:68" x14ac:dyDescent="0.25">
      <c r="A19" t="s">
        <v>283</v>
      </c>
      <c r="N19" s="75">
        <f>SUM(N10:N17)*453.6*2000/SUM($G$10:$G$17)/312</f>
        <v>41.300276462148354</v>
      </c>
      <c r="O19">
        <f t="shared" ref="O19:AN19" si="1">SUM(O10:O17)*453.6*2000/SUM($G$10:$G$17)/312</f>
        <v>52.947776913009072</v>
      </c>
      <c r="P19">
        <f t="shared" si="1"/>
        <v>230.27207757746925</v>
      </c>
      <c r="Q19" s="74"/>
      <c r="R19" s="74">
        <f t="shared" si="1"/>
        <v>1.4073489115466856E-2</v>
      </c>
      <c r="S19" s="74">
        <f t="shared" si="1"/>
        <v>0</v>
      </c>
      <c r="T19" s="74">
        <f t="shared" si="1"/>
        <v>1.9311187151694231</v>
      </c>
      <c r="U19" s="74">
        <f t="shared" si="1"/>
        <v>0.60202241186033745</v>
      </c>
      <c r="V19" s="74">
        <f t="shared" si="1"/>
        <v>1.8230661771966072</v>
      </c>
      <c r="W19" s="74">
        <f t="shared" si="1"/>
        <v>4.3562073042263707</v>
      </c>
      <c r="X19" s="74"/>
      <c r="Y19" s="74">
        <f t="shared" si="1"/>
        <v>1.4709829843085238E-2</v>
      </c>
      <c r="Z19" s="74">
        <f t="shared" si="1"/>
        <v>0</v>
      </c>
      <c r="AA19" s="74">
        <f t="shared" si="1"/>
        <v>2.0184353342569969</v>
      </c>
      <c r="AB19" s="74">
        <f t="shared" si="1"/>
        <v>2.4080896474413467</v>
      </c>
      <c r="AC19" s="74">
        <f t="shared" si="1"/>
        <v>5.2087605062760298</v>
      </c>
      <c r="AD19" s="74">
        <f t="shared" si="1"/>
        <v>9.6352854879743841</v>
      </c>
      <c r="AE19" s="74"/>
      <c r="AF19" s="73">
        <f t="shared" si="1"/>
        <v>8905.5240456540105</v>
      </c>
      <c r="AG19" s="74">
        <f t="shared" si="1"/>
        <v>0</v>
      </c>
      <c r="AH19" s="74">
        <f t="shared" si="1"/>
        <v>114130.59689527062</v>
      </c>
      <c r="AI19" s="74"/>
      <c r="AJ19" s="74">
        <f t="shared" si="1"/>
        <v>0.16049561299317228</v>
      </c>
      <c r="AK19" s="74">
        <f t="shared" si="1"/>
        <v>0</v>
      </c>
      <c r="AL19" s="74">
        <f t="shared" si="1"/>
        <v>0.21984224616469999</v>
      </c>
      <c r="AM19" s="74"/>
      <c r="AN19" s="74">
        <f t="shared" si="1"/>
        <v>1.4030689400708038</v>
      </c>
    </row>
    <row r="20" spans="1:68" x14ac:dyDescent="0.25">
      <c r="A20" t="s">
        <v>399</v>
      </c>
      <c r="N20" s="75"/>
      <c r="Q20" s="74"/>
      <c r="R20" s="74"/>
      <c r="S20" s="74"/>
      <c r="T20" s="74"/>
      <c r="U20" s="74"/>
      <c r="V20" s="74"/>
      <c r="W20" s="74"/>
      <c r="X20" s="74"/>
      <c r="Y20" s="74"/>
      <c r="Z20" s="74"/>
      <c r="AA20" s="74"/>
      <c r="AB20" s="74"/>
      <c r="AC20" s="74"/>
      <c r="AD20" s="74"/>
      <c r="AE20" s="74"/>
      <c r="AF20" s="73"/>
      <c r="AG20" s="74"/>
      <c r="AH20" s="74"/>
      <c r="AI20" s="74"/>
      <c r="AJ20" s="74"/>
      <c r="AK20" s="74"/>
      <c r="AL20" s="74"/>
      <c r="AM20" s="74"/>
      <c r="AN20" s="74"/>
      <c r="BP20" s="74">
        <f>SUM(H10:H17)/(SUM(BP10:BP17)*1000)</f>
        <v>5.9520749233171024</v>
      </c>
    </row>
    <row r="22" spans="1:68" x14ac:dyDescent="0.25">
      <c r="A22" t="s">
        <v>37</v>
      </c>
      <c r="B22">
        <v>2026</v>
      </c>
      <c r="C22" t="s">
        <v>164</v>
      </c>
      <c r="D22">
        <v>2010</v>
      </c>
      <c r="E22" t="s">
        <v>39</v>
      </c>
      <c r="F22" t="s">
        <v>10</v>
      </c>
      <c r="G22">
        <v>1.6558177214733201</v>
      </c>
      <c r="H22">
        <v>1036.5768772676699</v>
      </c>
      <c r="I22">
        <v>1036.5768772676699</v>
      </c>
      <c r="J22">
        <v>0</v>
      </c>
      <c r="K22">
        <v>7506.4178258183001</v>
      </c>
      <c r="L22">
        <v>0</v>
      </c>
      <c r="M22">
        <v>8.0719968644080101E-3</v>
      </c>
      <c r="N22">
        <v>3.4798179328645998E-2</v>
      </c>
      <c r="O22">
        <v>3.1241370437836299E-3</v>
      </c>
      <c r="P22">
        <v>4.5994313236837697E-2</v>
      </c>
      <c r="Q22">
        <v>5.0746314592492598E-5</v>
      </c>
      <c r="R22">
        <v>8.0143048900681195E-6</v>
      </c>
      <c r="S22">
        <v>0</v>
      </c>
      <c r="T22">
        <v>5.8760619482560701E-5</v>
      </c>
      <c r="U22">
        <v>1.0283673748093499E-5</v>
      </c>
      <c r="V22">
        <v>3.1208460488636301E-5</v>
      </c>
      <c r="W22">
        <v>1.0025275371929E-4</v>
      </c>
      <c r="X22">
        <v>5.3040837754929102E-5</v>
      </c>
      <c r="Y22">
        <v>8.3766761942457594E-6</v>
      </c>
      <c r="Z22">
        <v>0</v>
      </c>
      <c r="AA22">
        <v>6.1417513949174897E-5</v>
      </c>
      <c r="AB22">
        <v>4.1134694992374302E-5</v>
      </c>
      <c r="AC22">
        <v>8.9167029967532398E-5</v>
      </c>
      <c r="AD22">
        <v>1.9171923890908099E-4</v>
      </c>
      <c r="AE22">
        <v>1.8402586692506699</v>
      </c>
      <c r="AF22">
        <v>6.2282712957588799</v>
      </c>
      <c r="AG22">
        <v>0</v>
      </c>
      <c r="AH22">
        <v>8.0685299650095494</v>
      </c>
      <c r="AI22">
        <v>9.9677682147592005E-6</v>
      </c>
      <c r="AJ22">
        <v>9.0019157415641306E-5</v>
      </c>
      <c r="AK22">
        <v>0</v>
      </c>
      <c r="AL22">
        <v>9.9986925630400495E-5</v>
      </c>
      <c r="AM22">
        <v>2.8993350276581398E-4</v>
      </c>
      <c r="AN22">
        <v>9.8126667904270093E-4</v>
      </c>
      <c r="AO22">
        <v>0</v>
      </c>
      <c r="AP22">
        <v>1.27120018180851E-3</v>
      </c>
      <c r="AQ22">
        <v>2.14603316284508E-4</v>
      </c>
      <c r="AR22">
        <v>1.9380877739441299E-3</v>
      </c>
      <c r="AS22">
        <v>0</v>
      </c>
      <c r="AT22">
        <v>2.1526910902286401E-3</v>
      </c>
      <c r="AU22">
        <v>0</v>
      </c>
      <c r="AV22">
        <v>0</v>
      </c>
      <c r="AW22">
        <v>0</v>
      </c>
      <c r="AX22">
        <v>2.1526910902286401E-3</v>
      </c>
      <c r="AY22">
        <v>2.44309539708919E-4</v>
      </c>
      <c r="AZ22">
        <v>2.2063654008964502E-3</v>
      </c>
      <c r="BA22">
        <v>0</v>
      </c>
      <c r="BB22">
        <v>2.45067494060537E-3</v>
      </c>
      <c r="BC22">
        <v>0</v>
      </c>
      <c r="BD22">
        <v>0</v>
      </c>
      <c r="BE22">
        <v>0</v>
      </c>
      <c r="BF22">
        <v>2.45067494060537E-3</v>
      </c>
      <c r="BG22">
        <v>5.0711023247551005E-4</v>
      </c>
      <c r="BH22">
        <v>1.0852089347465101E-2</v>
      </c>
      <c r="BI22">
        <v>0</v>
      </c>
      <c r="BJ22">
        <v>1.1359199579940599E-2</v>
      </c>
      <c r="BK22">
        <v>1.7426149143120599E-5</v>
      </c>
      <c r="BL22">
        <v>5.8978004732294001E-5</v>
      </c>
      <c r="BM22">
        <v>0</v>
      </c>
      <c r="BN22">
        <v>7.6404153875414603E-5</v>
      </c>
      <c r="BO22">
        <v>4.3419943381087399E-5</v>
      </c>
      <c r="BP22">
        <v>0.72075858558372397</v>
      </c>
    </row>
    <row r="23" spans="1:68" x14ac:dyDescent="0.25">
      <c r="A23" t="s">
        <v>37</v>
      </c>
      <c r="B23">
        <v>2026</v>
      </c>
      <c r="C23" t="s">
        <v>164</v>
      </c>
      <c r="D23">
        <v>2011</v>
      </c>
      <c r="E23" t="s">
        <v>39</v>
      </c>
      <c r="F23" t="s">
        <v>10</v>
      </c>
      <c r="G23">
        <v>981.73596553419702</v>
      </c>
      <c r="H23">
        <v>17469207.911982</v>
      </c>
      <c r="I23">
        <v>17469207.911982</v>
      </c>
      <c r="J23">
        <v>0</v>
      </c>
      <c r="K23">
        <v>4450562.5567140998</v>
      </c>
      <c r="L23">
        <v>0</v>
      </c>
      <c r="M23">
        <v>81.763312174152802</v>
      </c>
      <c r="N23">
        <v>15.620102109584099</v>
      </c>
      <c r="O23">
        <v>10.319328234529801</v>
      </c>
      <c r="P23">
        <v>107.70274251826601</v>
      </c>
      <c r="Q23">
        <v>0.93351744320845698</v>
      </c>
      <c r="R23">
        <v>4.75168929967466E-3</v>
      </c>
      <c r="S23">
        <v>0</v>
      </c>
      <c r="T23">
        <v>0.93826913250813204</v>
      </c>
      <c r="U23">
        <v>0.173308549268408</v>
      </c>
      <c r="V23">
        <v>0.52514876523035903</v>
      </c>
      <c r="W23">
        <v>1.6367264470069001</v>
      </c>
      <c r="X23">
        <v>0.97572695956804101</v>
      </c>
      <c r="Y23">
        <v>4.9665396044969697E-3</v>
      </c>
      <c r="Z23">
        <v>0</v>
      </c>
      <c r="AA23">
        <v>0.98069349917253801</v>
      </c>
      <c r="AB23">
        <v>0.69323419707363498</v>
      </c>
      <c r="AC23">
        <v>1.5004250435153099</v>
      </c>
      <c r="AD23">
        <v>3.1743527397614799</v>
      </c>
      <c r="AE23">
        <v>29141.113170633598</v>
      </c>
      <c r="AF23">
        <v>3373.39957950298</v>
      </c>
      <c r="AG23">
        <v>0</v>
      </c>
      <c r="AH23">
        <v>32514.512750136601</v>
      </c>
      <c r="AI23">
        <v>8.9408062592123499E-2</v>
      </c>
      <c r="AJ23">
        <v>5.4022997585769401E-2</v>
      </c>
      <c r="AK23">
        <v>0</v>
      </c>
      <c r="AL23">
        <v>0.143431060177893</v>
      </c>
      <c r="AM23">
        <v>4.5911942474353902</v>
      </c>
      <c r="AN23">
        <v>0.53148047753106298</v>
      </c>
      <c r="AO23">
        <v>0</v>
      </c>
      <c r="AP23">
        <v>5.1226747249664601</v>
      </c>
      <c r="AQ23">
        <v>1.9249310699693101</v>
      </c>
      <c r="AR23">
        <v>1.1631003237384301</v>
      </c>
      <c r="AS23">
        <v>0</v>
      </c>
      <c r="AT23">
        <v>3.0880313937077499</v>
      </c>
      <c r="AU23">
        <v>0</v>
      </c>
      <c r="AV23">
        <v>0</v>
      </c>
      <c r="AW23">
        <v>0</v>
      </c>
      <c r="AX23">
        <v>3.0880313937077499</v>
      </c>
      <c r="AY23">
        <v>2.1913874949263699</v>
      </c>
      <c r="AZ23">
        <v>1.32410118188068</v>
      </c>
      <c r="BA23">
        <v>0</v>
      </c>
      <c r="BB23">
        <v>3.5154886768070601</v>
      </c>
      <c r="BC23">
        <v>0</v>
      </c>
      <c r="BD23">
        <v>0</v>
      </c>
      <c r="BE23">
        <v>0</v>
      </c>
      <c r="BF23">
        <v>3.5154886768070601</v>
      </c>
      <c r="BG23">
        <v>5.0732595381332404</v>
      </c>
      <c r="BH23">
        <v>14.8900489932011</v>
      </c>
      <c r="BI23">
        <v>0</v>
      </c>
      <c r="BJ23">
        <v>19.963308531334299</v>
      </c>
      <c r="BK23">
        <v>0.27594891565694601</v>
      </c>
      <c r="BL23">
        <v>3.1944076761608702E-2</v>
      </c>
      <c r="BM23">
        <v>0</v>
      </c>
      <c r="BN23">
        <v>0.307892992418554</v>
      </c>
      <c r="BO23">
        <v>4.2364299901740603</v>
      </c>
      <c r="BP23">
        <v>2904.5085439804302</v>
      </c>
    </row>
    <row r="24" spans="1:68" x14ac:dyDescent="0.25">
      <c r="A24" t="s">
        <v>37</v>
      </c>
      <c r="B24">
        <v>2026</v>
      </c>
      <c r="C24" t="s">
        <v>164</v>
      </c>
      <c r="D24">
        <v>2012</v>
      </c>
      <c r="E24" t="s">
        <v>39</v>
      </c>
      <c r="F24" t="s">
        <v>10</v>
      </c>
      <c r="G24">
        <v>1638.36723682871</v>
      </c>
      <c r="H24">
        <v>30066997.431724001</v>
      </c>
      <c r="I24">
        <v>30066997.431724001</v>
      </c>
      <c r="J24">
        <v>0</v>
      </c>
      <c r="K24">
        <v>7427308.4967497997</v>
      </c>
      <c r="L24">
        <v>0</v>
      </c>
      <c r="M24">
        <v>117.67802021899</v>
      </c>
      <c r="N24">
        <v>23.013978272949299</v>
      </c>
      <c r="O24">
        <v>21.1550648899272</v>
      </c>
      <c r="P24">
        <v>161.84706338186601</v>
      </c>
      <c r="Q24">
        <v>0.89318400437294698</v>
      </c>
      <c r="R24">
        <v>7.9298429939259896E-3</v>
      </c>
      <c r="S24">
        <v>0</v>
      </c>
      <c r="T24">
        <v>0.90111384736687306</v>
      </c>
      <c r="U24">
        <v>0.29828872219071401</v>
      </c>
      <c r="V24">
        <v>0.903455248888411</v>
      </c>
      <c r="W24">
        <v>2.1028578184459898</v>
      </c>
      <c r="X24">
        <v>0.93356982160537205</v>
      </c>
      <c r="Y24">
        <v>8.2883953059541896E-3</v>
      </c>
      <c r="Z24">
        <v>0</v>
      </c>
      <c r="AA24">
        <v>0.94185821691132598</v>
      </c>
      <c r="AB24">
        <v>1.19315488876285</v>
      </c>
      <c r="AC24">
        <v>2.5813007111097401</v>
      </c>
      <c r="AD24">
        <v>4.7163138167839298</v>
      </c>
      <c r="AE24">
        <v>50313.056312440996</v>
      </c>
      <c r="AF24">
        <v>5481.3667470891596</v>
      </c>
      <c r="AG24">
        <v>0</v>
      </c>
      <c r="AH24">
        <v>55794.4230595302</v>
      </c>
      <c r="AI24">
        <v>3.1798758876053497E-2</v>
      </c>
      <c r="AJ24">
        <v>9.0458271706399598E-2</v>
      </c>
      <c r="AK24">
        <v>0</v>
      </c>
      <c r="AL24">
        <v>0.12225703058245301</v>
      </c>
      <c r="AM24">
        <v>7.9268425114712198</v>
      </c>
      <c r="AN24">
        <v>0.86359156323101605</v>
      </c>
      <c r="AO24">
        <v>0</v>
      </c>
      <c r="AP24">
        <v>8.7904340747022296</v>
      </c>
      <c r="AQ24">
        <v>0.68461855868880395</v>
      </c>
      <c r="AR24">
        <v>1.94754178420945</v>
      </c>
      <c r="AS24">
        <v>0</v>
      </c>
      <c r="AT24">
        <v>2.6321603428982598</v>
      </c>
      <c r="AU24">
        <v>0</v>
      </c>
      <c r="AV24">
        <v>0</v>
      </c>
      <c r="AW24">
        <v>0</v>
      </c>
      <c r="AX24">
        <v>2.6321603428982598</v>
      </c>
      <c r="AY24">
        <v>0.77938611502025401</v>
      </c>
      <c r="AZ24">
        <v>2.2171280719320698</v>
      </c>
      <c r="BA24">
        <v>0</v>
      </c>
      <c r="BB24">
        <v>2.9965141869523202</v>
      </c>
      <c r="BC24">
        <v>0</v>
      </c>
      <c r="BD24">
        <v>0</v>
      </c>
      <c r="BE24">
        <v>0</v>
      </c>
      <c r="BF24">
        <v>2.9965141869523202</v>
      </c>
      <c r="BG24">
        <v>5.7893767536393597</v>
      </c>
      <c r="BH24">
        <v>28.776526245058299</v>
      </c>
      <c r="BI24">
        <v>0</v>
      </c>
      <c r="BJ24">
        <v>34.565902998697702</v>
      </c>
      <c r="BK24">
        <v>0.47643455661797102</v>
      </c>
      <c r="BL24">
        <v>5.1905265297194102E-2</v>
      </c>
      <c r="BM24">
        <v>0</v>
      </c>
      <c r="BN24">
        <v>0.52833982191516604</v>
      </c>
      <c r="BO24">
        <v>7.2915000082444896</v>
      </c>
      <c r="BP24">
        <v>4984.09371003671</v>
      </c>
    </row>
    <row r="25" spans="1:68" x14ac:dyDescent="0.25">
      <c r="A25" t="s">
        <v>37</v>
      </c>
      <c r="B25">
        <v>2026</v>
      </c>
      <c r="C25" t="s">
        <v>164</v>
      </c>
      <c r="D25">
        <v>2013</v>
      </c>
      <c r="E25" t="s">
        <v>39</v>
      </c>
      <c r="F25" t="s">
        <v>10</v>
      </c>
      <c r="G25">
        <v>1631.4532705583599</v>
      </c>
      <c r="H25">
        <v>30879879.043990001</v>
      </c>
      <c r="I25">
        <v>30879879.043990001</v>
      </c>
      <c r="J25">
        <v>0</v>
      </c>
      <c r="K25">
        <v>7395964.99861845</v>
      </c>
      <c r="L25">
        <v>0</v>
      </c>
      <c r="M25">
        <v>112.49912152260301</v>
      </c>
      <c r="N25">
        <v>22.916858490553199</v>
      </c>
      <c r="O25">
        <v>30.253057679314999</v>
      </c>
      <c r="P25">
        <v>165.66903769247099</v>
      </c>
      <c r="Q25">
        <v>0.88000291618572801</v>
      </c>
      <c r="R25">
        <v>7.8963787828768995E-3</v>
      </c>
      <c r="S25">
        <v>0</v>
      </c>
      <c r="T25">
        <v>0.88789929496860498</v>
      </c>
      <c r="U25">
        <v>0.306353159551504</v>
      </c>
      <c r="V25">
        <v>0.92816252024479795</v>
      </c>
      <c r="W25">
        <v>2.1224149747648999</v>
      </c>
      <c r="X25">
        <v>0.91979274310054004</v>
      </c>
      <c r="Y25">
        <v>8.2534179917766893E-3</v>
      </c>
      <c r="Z25">
        <v>0</v>
      </c>
      <c r="AA25">
        <v>0.92804616109231697</v>
      </c>
      <c r="AB25">
        <v>1.22541263820601</v>
      </c>
      <c r="AC25">
        <v>2.65189291498513</v>
      </c>
      <c r="AD25">
        <v>4.8053517142834696</v>
      </c>
      <c r="AE25">
        <v>48502.078929408097</v>
      </c>
      <c r="AF25">
        <v>5458.2351902849996</v>
      </c>
      <c r="AG25">
        <v>0</v>
      </c>
      <c r="AH25">
        <v>53960.314119693103</v>
      </c>
      <c r="AI25">
        <v>3.2188406738961998E-2</v>
      </c>
      <c r="AJ25">
        <v>9.0076534678587297E-2</v>
      </c>
      <c r="AK25">
        <v>0</v>
      </c>
      <c r="AL25">
        <v>0.122264941417549</v>
      </c>
      <c r="AM25">
        <v>7.6415222872735002</v>
      </c>
      <c r="AN25">
        <v>0.85994717703644497</v>
      </c>
      <c r="AO25">
        <v>0</v>
      </c>
      <c r="AP25">
        <v>8.5014694643099507</v>
      </c>
      <c r="AQ25">
        <v>0.69300757032728899</v>
      </c>
      <c r="AR25">
        <v>1.93932309068127</v>
      </c>
      <c r="AS25">
        <v>0</v>
      </c>
      <c r="AT25">
        <v>2.6323306610085502</v>
      </c>
      <c r="AU25">
        <v>0</v>
      </c>
      <c r="AV25">
        <v>0</v>
      </c>
      <c r="AW25">
        <v>0</v>
      </c>
      <c r="AX25">
        <v>2.6323306610085502</v>
      </c>
      <c r="AY25">
        <v>0.78893636618829199</v>
      </c>
      <c r="AZ25">
        <v>2.20777171496777</v>
      </c>
      <c r="BA25">
        <v>0</v>
      </c>
      <c r="BB25">
        <v>2.99670808115606</v>
      </c>
      <c r="BC25">
        <v>0</v>
      </c>
      <c r="BD25">
        <v>0</v>
      </c>
      <c r="BE25">
        <v>0</v>
      </c>
      <c r="BF25">
        <v>2.99670808115606</v>
      </c>
      <c r="BG25">
        <v>5.8705974748446703</v>
      </c>
      <c r="BH25">
        <v>28.6550883113865</v>
      </c>
      <c r="BI25">
        <v>0</v>
      </c>
      <c r="BJ25">
        <v>34.525685786231101</v>
      </c>
      <c r="BK25">
        <v>0.45928568374544199</v>
      </c>
      <c r="BL25">
        <v>5.1686223286678303E-2</v>
      </c>
      <c r="BM25">
        <v>0</v>
      </c>
      <c r="BN25">
        <v>0.51097190703212103</v>
      </c>
      <c r="BO25">
        <v>7.4886306427881797</v>
      </c>
      <c r="BP25">
        <v>4820.2534849875101</v>
      </c>
    </row>
    <row r="26" spans="1:68" x14ac:dyDescent="0.25">
      <c r="A26" t="s">
        <v>37</v>
      </c>
      <c r="B26">
        <v>2026</v>
      </c>
      <c r="C26" t="s">
        <v>164</v>
      </c>
      <c r="D26">
        <v>2014</v>
      </c>
      <c r="E26" t="s">
        <v>39</v>
      </c>
      <c r="F26" t="s">
        <v>10</v>
      </c>
      <c r="G26">
        <v>1811.0562757778</v>
      </c>
      <c r="H26">
        <v>35375758.544240899</v>
      </c>
      <c r="I26">
        <v>35375758.544240899</v>
      </c>
      <c r="J26">
        <v>0</v>
      </c>
      <c r="K26">
        <v>8210170.0783600798</v>
      </c>
      <c r="L26">
        <v>0</v>
      </c>
      <c r="M26">
        <v>51.619038620336298</v>
      </c>
      <c r="N26">
        <v>25.439723674232901</v>
      </c>
      <c r="O26">
        <v>33.583548459736001</v>
      </c>
      <c r="P26">
        <v>110.642310754305</v>
      </c>
      <c r="Q26">
        <v>1.1872377978961</v>
      </c>
      <c r="R26">
        <v>8.7656732857285691E-3</v>
      </c>
      <c r="S26">
        <v>0</v>
      </c>
      <c r="T26">
        <v>1.1960034711818299</v>
      </c>
      <c r="U26">
        <v>0.35095588898262098</v>
      </c>
      <c r="V26">
        <v>1.0637382353709901</v>
      </c>
      <c r="W26">
        <v>2.6106975955354401</v>
      </c>
      <c r="X26">
        <v>1.24091942282726</v>
      </c>
      <c r="Y26">
        <v>9.1620181346100896E-3</v>
      </c>
      <c r="Z26">
        <v>0</v>
      </c>
      <c r="AA26">
        <v>1.2500814409618699</v>
      </c>
      <c r="AB26">
        <v>1.4038235559304799</v>
      </c>
      <c r="AC26">
        <v>3.03925210105997</v>
      </c>
      <c r="AD26">
        <v>5.69315709795233</v>
      </c>
      <c r="AE26">
        <v>62585.4779917372</v>
      </c>
      <c r="AF26">
        <v>5273.6402593969196</v>
      </c>
      <c r="AG26">
        <v>0</v>
      </c>
      <c r="AH26">
        <v>67859.118251134205</v>
      </c>
      <c r="AI26">
        <v>1.8016763699315201E-2</v>
      </c>
      <c r="AJ26">
        <v>9.9992856904899605E-2</v>
      </c>
      <c r="AK26">
        <v>0</v>
      </c>
      <c r="AL26">
        <v>0.11800962060421399</v>
      </c>
      <c r="AM26">
        <v>9.8603675448548795</v>
      </c>
      <c r="AN26">
        <v>0.83086417050074501</v>
      </c>
      <c r="AO26">
        <v>0</v>
      </c>
      <c r="AP26">
        <v>10.691231715355601</v>
      </c>
      <c r="AQ26">
        <v>0.387895981857037</v>
      </c>
      <c r="AR26">
        <v>2.15281878894212</v>
      </c>
      <c r="AS26">
        <v>0</v>
      </c>
      <c r="AT26">
        <v>2.54071477079916</v>
      </c>
      <c r="AU26">
        <v>0</v>
      </c>
      <c r="AV26">
        <v>0</v>
      </c>
      <c r="AW26">
        <v>0</v>
      </c>
      <c r="AX26">
        <v>2.54071477079916</v>
      </c>
      <c r="AY26">
        <v>0.44159004820221898</v>
      </c>
      <c r="AZ26">
        <v>2.4508203158700699</v>
      </c>
      <c r="BA26">
        <v>0</v>
      </c>
      <c r="BB26">
        <v>2.89241036407229</v>
      </c>
      <c r="BC26">
        <v>0</v>
      </c>
      <c r="BD26">
        <v>0</v>
      </c>
      <c r="BE26">
        <v>0</v>
      </c>
      <c r="BF26">
        <v>2.89241036407229</v>
      </c>
      <c r="BG26">
        <v>2.9741160209950399</v>
      </c>
      <c r="BH26">
        <v>31.809662253790702</v>
      </c>
      <c r="BI26">
        <v>0</v>
      </c>
      <c r="BJ26">
        <v>34.783778274785803</v>
      </c>
      <c r="BK26">
        <v>0.59264705114612604</v>
      </c>
      <c r="BL26">
        <v>4.9938219676930497E-2</v>
      </c>
      <c r="BM26">
        <v>0</v>
      </c>
      <c r="BN26">
        <v>0.64258527082305705</v>
      </c>
      <c r="BO26">
        <v>8.5789192719599701</v>
      </c>
      <c r="BP26">
        <v>6061.8281523093001</v>
      </c>
    </row>
    <row r="27" spans="1:68" x14ac:dyDescent="0.25">
      <c r="A27" t="s">
        <v>37</v>
      </c>
      <c r="B27">
        <v>2026</v>
      </c>
      <c r="C27" t="s">
        <v>164</v>
      </c>
      <c r="D27">
        <v>2015</v>
      </c>
      <c r="E27" t="s">
        <v>39</v>
      </c>
      <c r="F27" t="s">
        <v>10</v>
      </c>
      <c r="G27">
        <v>1967.12862285951</v>
      </c>
      <c r="H27">
        <v>39699539.804873101</v>
      </c>
      <c r="I27">
        <v>39699539.804873101</v>
      </c>
      <c r="J27">
        <v>0</v>
      </c>
      <c r="K27">
        <v>8917702.2137263902</v>
      </c>
      <c r="L27">
        <v>0</v>
      </c>
      <c r="M27">
        <v>57.254565677675402</v>
      </c>
      <c r="N27">
        <v>27.632056091535802</v>
      </c>
      <c r="O27">
        <v>36.477695539286003</v>
      </c>
      <c r="P27">
        <v>121.36431730849699</v>
      </c>
      <c r="Q27">
        <v>1.3064370689073399</v>
      </c>
      <c r="R27">
        <v>9.5210773125125898E-3</v>
      </c>
      <c r="S27">
        <v>0</v>
      </c>
      <c r="T27">
        <v>1.31595814621986</v>
      </c>
      <c r="U27">
        <v>0.393851265888641</v>
      </c>
      <c r="V27">
        <v>1.1925958727694601</v>
      </c>
      <c r="W27">
        <v>2.9024052848779598</v>
      </c>
      <c r="X27">
        <v>1.3655083559347001</v>
      </c>
      <c r="Y27">
        <v>9.9515781794295693E-3</v>
      </c>
      <c r="Z27">
        <v>0</v>
      </c>
      <c r="AA27">
        <v>1.37545993411413</v>
      </c>
      <c r="AB27">
        <v>1.57540506355456</v>
      </c>
      <c r="AC27">
        <v>3.4074167793413102</v>
      </c>
      <c r="AD27">
        <v>6.35828177701001</v>
      </c>
      <c r="AE27">
        <v>70227.092029846594</v>
      </c>
      <c r="AF27">
        <v>5728.1095235257499</v>
      </c>
      <c r="AG27">
        <v>0</v>
      </c>
      <c r="AH27">
        <v>75955.201553372404</v>
      </c>
      <c r="AI27">
        <v>1.99687630643254E-2</v>
      </c>
      <c r="AJ27">
        <v>0.108609993808527</v>
      </c>
      <c r="AK27">
        <v>0</v>
      </c>
      <c r="AL27">
        <v>0.128578756872853</v>
      </c>
      <c r="AM27">
        <v>11.064306948523299</v>
      </c>
      <c r="AN27">
        <v>0.90246598814191803</v>
      </c>
      <c r="AO27">
        <v>0</v>
      </c>
      <c r="AP27">
        <v>11.966772936665301</v>
      </c>
      <c r="AQ27">
        <v>0.42992199290494298</v>
      </c>
      <c r="AR27">
        <v>2.3383433834705198</v>
      </c>
      <c r="AS27">
        <v>0</v>
      </c>
      <c r="AT27">
        <v>2.7682653763754699</v>
      </c>
      <c r="AU27">
        <v>0</v>
      </c>
      <c r="AV27">
        <v>0</v>
      </c>
      <c r="AW27">
        <v>0</v>
      </c>
      <c r="AX27">
        <v>2.7682653763754699</v>
      </c>
      <c r="AY27">
        <v>0.48943346270614102</v>
      </c>
      <c r="AZ27">
        <v>2.6620259443694301</v>
      </c>
      <c r="BA27">
        <v>0</v>
      </c>
      <c r="BB27">
        <v>3.1514594070755799</v>
      </c>
      <c r="BC27">
        <v>0</v>
      </c>
      <c r="BD27">
        <v>0</v>
      </c>
      <c r="BE27">
        <v>0</v>
      </c>
      <c r="BF27">
        <v>3.1514594070755799</v>
      </c>
      <c r="BG27">
        <v>3.2880133277111101</v>
      </c>
      <c r="BH27">
        <v>34.550940210873101</v>
      </c>
      <c r="BI27">
        <v>0</v>
      </c>
      <c r="BJ27">
        <v>37.8389535385842</v>
      </c>
      <c r="BK27">
        <v>0.66500856648488005</v>
      </c>
      <c r="BL27">
        <v>5.4241771840549999E-2</v>
      </c>
      <c r="BM27">
        <v>0</v>
      </c>
      <c r="BN27">
        <v>0.71925033832542995</v>
      </c>
      <c r="BO27">
        <v>9.6274726291463004</v>
      </c>
      <c r="BP27">
        <v>6785.0480665929499</v>
      </c>
    </row>
    <row r="28" spans="1:68" x14ac:dyDescent="0.25">
      <c r="A28" t="s">
        <v>37</v>
      </c>
      <c r="B28">
        <v>2026</v>
      </c>
      <c r="C28" t="s">
        <v>164</v>
      </c>
      <c r="D28">
        <v>2016</v>
      </c>
      <c r="E28" t="s">
        <v>39</v>
      </c>
      <c r="F28" t="s">
        <v>10</v>
      </c>
      <c r="G28">
        <v>2514.3798627381402</v>
      </c>
      <c r="H28">
        <v>52422086.701726899</v>
      </c>
      <c r="I28">
        <v>52422086.701726899</v>
      </c>
      <c r="J28">
        <v>0</v>
      </c>
      <c r="K28">
        <v>11398589.0945425</v>
      </c>
      <c r="L28">
        <v>0</v>
      </c>
      <c r="M28">
        <v>74.611836713837803</v>
      </c>
      <c r="N28">
        <v>35.3192387092679</v>
      </c>
      <c r="O28">
        <v>55.023536897772601</v>
      </c>
      <c r="P28">
        <v>164.954612320878</v>
      </c>
      <c r="Q28">
        <v>1.67845578386918</v>
      </c>
      <c r="R28">
        <v>1.2169821936378901E-2</v>
      </c>
      <c r="S28">
        <v>0</v>
      </c>
      <c r="T28">
        <v>1.69062560580556</v>
      </c>
      <c r="U28">
        <v>0.52006913202215299</v>
      </c>
      <c r="V28">
        <v>1.5759873893119301</v>
      </c>
      <c r="W28">
        <v>3.78668212713966</v>
      </c>
      <c r="X28">
        <v>1.75434810637852</v>
      </c>
      <c r="Y28">
        <v>1.2720087281557E-2</v>
      </c>
      <c r="Z28">
        <v>0</v>
      </c>
      <c r="AA28">
        <v>1.7670681936600701</v>
      </c>
      <c r="AB28">
        <v>2.0802765280886102</v>
      </c>
      <c r="AC28">
        <v>4.5028211123198201</v>
      </c>
      <c r="AD28">
        <v>8.3501658340685108</v>
      </c>
      <c r="AE28">
        <v>92740.598836827907</v>
      </c>
      <c r="AF28">
        <v>7321.6581112908398</v>
      </c>
      <c r="AG28">
        <v>0</v>
      </c>
      <c r="AH28">
        <v>100062.256948118</v>
      </c>
      <c r="AI28">
        <v>2.6013898391321798E-2</v>
      </c>
      <c r="AJ28">
        <v>0.13882507638331501</v>
      </c>
      <c r="AK28">
        <v>0</v>
      </c>
      <c r="AL28">
        <v>0.16483897477463699</v>
      </c>
      <c r="AM28">
        <v>14.6113191143446</v>
      </c>
      <c r="AN28">
        <v>1.15353021709967</v>
      </c>
      <c r="AO28">
        <v>0</v>
      </c>
      <c r="AP28">
        <v>15.7648493314442</v>
      </c>
      <c r="AQ28">
        <v>0.56007209878733799</v>
      </c>
      <c r="AR28">
        <v>2.9888658256716099</v>
      </c>
      <c r="AS28">
        <v>0</v>
      </c>
      <c r="AT28">
        <v>3.5489379244589498</v>
      </c>
      <c r="AU28">
        <v>0</v>
      </c>
      <c r="AV28">
        <v>0</v>
      </c>
      <c r="AW28">
        <v>0</v>
      </c>
      <c r="AX28">
        <v>3.5489379244589498</v>
      </c>
      <c r="AY28">
        <v>0.63759945105946403</v>
      </c>
      <c r="AZ28">
        <v>3.4025962262087499</v>
      </c>
      <c r="BA28">
        <v>0</v>
      </c>
      <c r="BB28">
        <v>4.0401956772682199</v>
      </c>
      <c r="BC28">
        <v>0</v>
      </c>
      <c r="BD28">
        <v>0</v>
      </c>
      <c r="BE28">
        <v>0</v>
      </c>
      <c r="BF28">
        <v>4.0401956772682199</v>
      </c>
      <c r="BG28">
        <v>4.2917529193977604</v>
      </c>
      <c r="BH28">
        <v>44.162942522083</v>
      </c>
      <c r="BI28">
        <v>0</v>
      </c>
      <c r="BJ28">
        <v>48.454695441480801</v>
      </c>
      <c r="BK28">
        <v>0.87819801311461199</v>
      </c>
      <c r="BL28">
        <v>6.9331724041949497E-2</v>
      </c>
      <c r="BM28">
        <v>0</v>
      </c>
      <c r="BN28">
        <v>0.94752973715656097</v>
      </c>
      <c r="BO28">
        <v>12.712797361486199</v>
      </c>
      <c r="BP28">
        <v>8938.5217754664209</v>
      </c>
    </row>
    <row r="29" spans="1:68" x14ac:dyDescent="0.25">
      <c r="A29" t="s">
        <v>37</v>
      </c>
      <c r="B29">
        <v>2026</v>
      </c>
      <c r="C29" t="s">
        <v>164</v>
      </c>
      <c r="D29">
        <v>2017</v>
      </c>
      <c r="E29" t="s">
        <v>39</v>
      </c>
      <c r="F29" t="s">
        <v>10</v>
      </c>
      <c r="G29">
        <v>1641.00045435845</v>
      </c>
      <c r="H29">
        <v>35369110.148603</v>
      </c>
      <c r="I29">
        <v>35369110.148603</v>
      </c>
      <c r="J29">
        <v>0</v>
      </c>
      <c r="K29">
        <v>7439245.8197704302</v>
      </c>
      <c r="L29">
        <v>0</v>
      </c>
      <c r="M29">
        <v>49.519815970327699</v>
      </c>
      <c r="N29">
        <v>23.050966812304299</v>
      </c>
      <c r="O29">
        <v>35.910902082760302</v>
      </c>
      <c r="P29">
        <v>108.481684865392</v>
      </c>
      <c r="Q29">
        <v>0.90007998734640005</v>
      </c>
      <c r="R29">
        <v>7.9425880007293007E-3</v>
      </c>
      <c r="S29">
        <v>0</v>
      </c>
      <c r="T29">
        <v>0.90802257534712905</v>
      </c>
      <c r="U29">
        <v>0.35088993156722098</v>
      </c>
      <c r="V29">
        <v>1.06321340995463</v>
      </c>
      <c r="W29">
        <v>2.3221259168689801</v>
      </c>
      <c r="X29">
        <v>0.940777610328414</v>
      </c>
      <c r="Y29">
        <v>8.3017165854100197E-3</v>
      </c>
      <c r="Z29">
        <v>0</v>
      </c>
      <c r="AA29">
        <v>0.94907932691382402</v>
      </c>
      <c r="AB29">
        <v>1.4035597262688799</v>
      </c>
      <c r="AC29">
        <v>3.0377525998703701</v>
      </c>
      <c r="AD29">
        <v>5.3903916530530802</v>
      </c>
      <c r="AE29">
        <v>65215.635122582396</v>
      </c>
      <c r="AF29">
        <v>4640.9818353327501</v>
      </c>
      <c r="AG29">
        <v>0</v>
      </c>
      <c r="AH29">
        <v>69856.616957915103</v>
      </c>
      <c r="AI29">
        <v>1.80457329483843E-2</v>
      </c>
      <c r="AJ29">
        <v>9.0603658101716195E-2</v>
      </c>
      <c r="AK29">
        <v>0</v>
      </c>
      <c r="AL29">
        <v>0.10864939105010001</v>
      </c>
      <c r="AM29">
        <v>10.274749871922401</v>
      </c>
      <c r="AN29">
        <v>0.73118857814615801</v>
      </c>
      <c r="AO29">
        <v>0</v>
      </c>
      <c r="AP29">
        <v>11.0059384500686</v>
      </c>
      <c r="AQ29">
        <v>0.38851968184549701</v>
      </c>
      <c r="AR29">
        <v>1.9506719134324999</v>
      </c>
      <c r="AS29">
        <v>0</v>
      </c>
      <c r="AT29">
        <v>2.3391915952779998</v>
      </c>
      <c r="AU29">
        <v>0</v>
      </c>
      <c r="AV29">
        <v>0</v>
      </c>
      <c r="AW29">
        <v>0</v>
      </c>
      <c r="AX29">
        <v>2.3391915952779998</v>
      </c>
      <c r="AY29">
        <v>0.44230008316223302</v>
      </c>
      <c r="AZ29">
        <v>2.22069148578304</v>
      </c>
      <c r="BA29">
        <v>0</v>
      </c>
      <c r="BB29">
        <v>2.6629915689452699</v>
      </c>
      <c r="BC29">
        <v>0</v>
      </c>
      <c r="BD29">
        <v>0</v>
      </c>
      <c r="BE29">
        <v>0</v>
      </c>
      <c r="BF29">
        <v>2.6629915689452699</v>
      </c>
      <c r="BG29">
        <v>1.6198603783894101</v>
      </c>
      <c r="BH29">
        <v>28.822776470069002</v>
      </c>
      <c r="BI29">
        <v>0</v>
      </c>
      <c r="BJ29">
        <v>30.442636848458498</v>
      </c>
      <c r="BK29">
        <v>0.61755306636985097</v>
      </c>
      <c r="BL29">
        <v>4.3947322723904302E-2</v>
      </c>
      <c r="BM29">
        <v>0</v>
      </c>
      <c r="BN29">
        <v>0.66150038909375497</v>
      </c>
      <c r="BO29">
        <v>8.5773069800456003</v>
      </c>
      <c r="BP29">
        <v>6240.2639205159403</v>
      </c>
    </row>
    <row r="30" spans="1:68" x14ac:dyDescent="0.25">
      <c r="A30" t="s">
        <v>106</v>
      </c>
      <c r="M30" s="75">
        <f>SUM(M22:M29)*453.6*2000/SUM($H$22:$H$29)</f>
        <v>2.0489666049520969</v>
      </c>
      <c r="O30">
        <f t="shared" ref="O30:AM30" si="2">SUM(O22:O29)*453.6*2000/SUM($H$22:$H$29)</f>
        <v>0.8374263632057305</v>
      </c>
      <c r="P30">
        <f t="shared" si="2"/>
        <v>3.5369582746721355</v>
      </c>
      <c r="Q30" s="74">
        <f t="shared" si="2"/>
        <v>2.9248060182751123E-2</v>
      </c>
      <c r="R30" s="74"/>
      <c r="S30" s="74">
        <f t="shared" si="2"/>
        <v>0</v>
      </c>
      <c r="T30" s="74">
        <f t="shared" si="2"/>
        <v>2.9469837652744277E-2</v>
      </c>
      <c r="U30" s="74">
        <f t="shared" si="2"/>
        <v>9.0001513914354358E-3</v>
      </c>
      <c r="V30" s="74">
        <f t="shared" si="2"/>
        <v>2.726797734918399E-2</v>
      </c>
      <c r="W30" s="74">
        <f t="shared" si="2"/>
        <v>6.5737966393363712E-2</v>
      </c>
      <c r="X30" s="74">
        <f t="shared" si="2"/>
        <v>3.0570527677870312E-2</v>
      </c>
      <c r="Y30" s="74"/>
      <c r="Z30" s="74">
        <f t="shared" si="2"/>
        <v>0</v>
      </c>
      <c r="AA30" s="74">
        <f t="shared" si="2"/>
        <v>3.0802332940933538E-2</v>
      </c>
      <c r="AB30" s="74">
        <f t="shared" si="2"/>
        <v>3.600060556574166E-2</v>
      </c>
      <c r="AC30" s="74">
        <f t="shared" si="2"/>
        <v>7.7908506711954248E-2</v>
      </c>
      <c r="AD30" s="74">
        <f t="shared" si="2"/>
        <v>0.14471144521862969</v>
      </c>
      <c r="AE30" s="73">
        <f t="shared" si="2"/>
        <v>1574.3673070441864</v>
      </c>
      <c r="AF30" s="74"/>
      <c r="AG30" s="74">
        <f t="shared" si="2"/>
        <v>0</v>
      </c>
      <c r="AH30" s="74">
        <f t="shared" si="2"/>
        <v>1714.5496375488904</v>
      </c>
      <c r="AI30" s="74">
        <f t="shared" si="2"/>
        <v>8.8526757272652107E-4</v>
      </c>
      <c r="AJ30" s="74"/>
      <c r="AK30" s="74">
        <f t="shared" si="2"/>
        <v>0</v>
      </c>
      <c r="AL30" s="74">
        <f t="shared" si="2"/>
        <v>3.4144685559341229E-3</v>
      </c>
      <c r="AM30" s="74">
        <f t="shared" si="2"/>
        <v>0.24804221036881022</v>
      </c>
      <c r="AN30" s="74"/>
    </row>
    <row r="31" spans="1:68" x14ac:dyDescent="0.25">
      <c r="A31" t="s">
        <v>283</v>
      </c>
      <c r="N31" s="75">
        <f>SUM(N22:N29)*453.6*2000/SUM($G$22:$G$29)/312</f>
        <v>41.283380861066846</v>
      </c>
      <c r="O31">
        <f t="shared" ref="O31:AN31" si="3">SUM(O22:O29)*453.6*2000/SUM($G$22:$G$29)/312</f>
        <v>53.141154545349892</v>
      </c>
      <c r="P31">
        <f t="shared" si="3"/>
        <v>224.44725238322883</v>
      </c>
      <c r="R31" s="74">
        <f t="shared" si="3"/>
        <v>1.4073489115466842E-2</v>
      </c>
      <c r="S31" s="74">
        <f t="shared" si="3"/>
        <v>0</v>
      </c>
      <c r="T31" s="74">
        <f t="shared" si="3"/>
        <v>1.8700882441004796</v>
      </c>
      <c r="U31" s="74">
        <f t="shared" si="3"/>
        <v>0.57112894582507634</v>
      </c>
      <c r="V31" s="74">
        <f t="shared" si="3"/>
        <v>1.7303632440051306</v>
      </c>
      <c r="W31" s="74">
        <f t="shared" si="3"/>
        <v>4.1715804339306857</v>
      </c>
      <c r="X31" s="74"/>
      <c r="Y31" s="74">
        <f t="shared" si="3"/>
        <v>1.4709829843085239E-2</v>
      </c>
      <c r="Z31" s="74">
        <f t="shared" si="3"/>
        <v>0</v>
      </c>
      <c r="AA31" s="74">
        <f t="shared" si="3"/>
        <v>1.9546453361050213</v>
      </c>
      <c r="AB31" s="74">
        <f t="shared" si="3"/>
        <v>2.2845157833003</v>
      </c>
      <c r="AC31" s="74">
        <f t="shared" si="3"/>
        <v>4.9438949828718011</v>
      </c>
      <c r="AD31" s="74">
        <f t="shared" si="3"/>
        <v>9.1830561022771384</v>
      </c>
      <c r="AE31" s="74"/>
      <c r="AF31" s="73">
        <f t="shared" si="3"/>
        <v>8895.6488799335511</v>
      </c>
      <c r="AG31" s="74">
        <f t="shared" si="3"/>
        <v>0</v>
      </c>
      <c r="AH31" s="74">
        <f t="shared" si="3"/>
        <v>108801.38394004137</v>
      </c>
      <c r="AI31" s="74"/>
      <c r="AJ31" s="74">
        <f t="shared" si="3"/>
        <v>0.16049728815602979</v>
      </c>
      <c r="AK31" s="74">
        <f t="shared" si="3"/>
        <v>0</v>
      </c>
      <c r="AL31" s="74">
        <f t="shared" si="3"/>
        <v>0.21667433602941918</v>
      </c>
      <c r="AM31" s="74"/>
      <c r="AN31" s="74">
        <f t="shared" si="3"/>
        <v>1.4015131036899915</v>
      </c>
    </row>
    <row r="32" spans="1:68" x14ac:dyDescent="0.25">
      <c r="BP32" s="74">
        <f>SUM(H22:H29)/(SUM(BP22:BP29)*1000)</f>
        <v>5.9232160057795546</v>
      </c>
    </row>
    <row r="34" spans="1:68" x14ac:dyDescent="0.25">
      <c r="A34" t="s">
        <v>37</v>
      </c>
      <c r="B34">
        <v>2027</v>
      </c>
      <c r="C34" t="s">
        <v>164</v>
      </c>
      <c r="D34">
        <v>2010</v>
      </c>
      <c r="E34" t="s">
        <v>39</v>
      </c>
      <c r="F34" t="s">
        <v>10</v>
      </c>
      <c r="G34">
        <v>1.4741673725742299</v>
      </c>
      <c r="H34">
        <v>922.85992100218903</v>
      </c>
      <c r="I34">
        <v>922.85992100218903</v>
      </c>
      <c r="J34">
        <v>0</v>
      </c>
      <c r="K34">
        <v>6682.9314001331104</v>
      </c>
      <c r="L34">
        <v>0</v>
      </c>
      <c r="M34">
        <v>7.1888849536607098E-3</v>
      </c>
      <c r="N34">
        <v>3.0980668902149702E-2</v>
      </c>
      <c r="O34">
        <v>2.78140572942922E-3</v>
      </c>
      <c r="P34">
        <v>4.0950959585239699E-2</v>
      </c>
      <c r="Q34">
        <v>4.5445194039557801E-5</v>
      </c>
      <c r="R34">
        <v>7.1351010619020503E-6</v>
      </c>
      <c r="S34">
        <v>0</v>
      </c>
      <c r="T34">
        <v>5.2580295101459797E-5</v>
      </c>
      <c r="U34">
        <v>9.1555103638754893E-6</v>
      </c>
      <c r="V34">
        <v>2.7712350394730902E-5</v>
      </c>
      <c r="W34">
        <v>8.9448155860066296E-5</v>
      </c>
      <c r="X34">
        <v>4.7500024053964701E-5</v>
      </c>
      <c r="Y34">
        <v>7.45771867037922E-6</v>
      </c>
      <c r="Z34">
        <v>0</v>
      </c>
      <c r="AA34">
        <v>5.4957742724343903E-5</v>
      </c>
      <c r="AB34">
        <v>3.6622041455501903E-5</v>
      </c>
      <c r="AC34">
        <v>7.9178143984945596E-5</v>
      </c>
      <c r="AD34">
        <v>1.7075792816479099E-4</v>
      </c>
      <c r="AE34">
        <v>1.63635364914598</v>
      </c>
      <c r="AF34">
        <v>5.5450030596234896</v>
      </c>
      <c r="AG34">
        <v>0</v>
      </c>
      <c r="AH34">
        <v>7.1813567087694699</v>
      </c>
      <c r="AI34">
        <v>8.8327630381688597E-6</v>
      </c>
      <c r="AJ34">
        <v>8.0143667414481207E-5</v>
      </c>
      <c r="AK34">
        <v>0</v>
      </c>
      <c r="AL34">
        <v>8.8976430452650097E-5</v>
      </c>
      <c r="AM34">
        <v>2.5780818381021298E-4</v>
      </c>
      <c r="AN34">
        <v>8.7361749018599697E-4</v>
      </c>
      <c r="AO34">
        <v>0</v>
      </c>
      <c r="AP34">
        <v>1.1314256739962099E-3</v>
      </c>
      <c r="AQ34">
        <v>1.9016696607567101E-4</v>
      </c>
      <c r="AR34">
        <v>1.72547118229372E-3</v>
      </c>
      <c r="AS34">
        <v>0</v>
      </c>
      <c r="AT34">
        <v>1.91563814836939E-3</v>
      </c>
      <c r="AU34">
        <v>0</v>
      </c>
      <c r="AV34">
        <v>0</v>
      </c>
      <c r="AW34">
        <v>0</v>
      </c>
      <c r="AX34">
        <v>1.91563814836939E-3</v>
      </c>
      <c r="AY34">
        <v>2.16490615122627E-4</v>
      </c>
      <c r="AZ34">
        <v>1.9643175959513999E-3</v>
      </c>
      <c r="BA34">
        <v>0</v>
      </c>
      <c r="BB34">
        <v>2.18080821107403E-3</v>
      </c>
      <c r="BC34">
        <v>0</v>
      </c>
      <c r="BD34">
        <v>0</v>
      </c>
      <c r="BE34">
        <v>0</v>
      </c>
      <c r="BF34">
        <v>2.18080821107403E-3</v>
      </c>
      <c r="BG34">
        <v>4.4793029930105999E-4</v>
      </c>
      <c r="BH34">
        <v>9.6615683192826807E-3</v>
      </c>
      <c r="BI34">
        <v>0</v>
      </c>
      <c r="BJ34">
        <v>1.01094986185837E-2</v>
      </c>
      <c r="BK34">
        <v>1.5495290535715E-5</v>
      </c>
      <c r="BL34">
        <v>5.2507863123070897E-5</v>
      </c>
      <c r="BM34">
        <v>0</v>
      </c>
      <c r="BN34">
        <v>6.8003153658786005E-5</v>
      </c>
      <c r="BO34">
        <v>3.8656588235126398E-5</v>
      </c>
      <c r="BP34">
        <v>0.64150775004015803</v>
      </c>
    </row>
    <row r="35" spans="1:68" x14ac:dyDescent="0.25">
      <c r="A35" t="s">
        <v>37</v>
      </c>
      <c r="B35">
        <v>2027</v>
      </c>
      <c r="C35" t="s">
        <v>164</v>
      </c>
      <c r="D35">
        <v>2011</v>
      </c>
      <c r="E35" t="s">
        <v>39</v>
      </c>
      <c r="F35" t="s">
        <v>10</v>
      </c>
      <c r="G35">
        <v>867.63792562990102</v>
      </c>
      <c r="H35">
        <v>14725898.846427601</v>
      </c>
      <c r="I35">
        <v>14725898.846427601</v>
      </c>
      <c r="J35">
        <v>0</v>
      </c>
      <c r="K35">
        <v>3933315.0665335599</v>
      </c>
      <c r="L35">
        <v>0</v>
      </c>
      <c r="M35">
        <v>69.447121044909196</v>
      </c>
      <c r="N35">
        <v>13.8047229278316</v>
      </c>
      <c r="O35">
        <v>9.1200086964621203</v>
      </c>
      <c r="P35">
        <v>92.371852669202895</v>
      </c>
      <c r="Q35">
        <v>0.79865681975633096</v>
      </c>
      <c r="R35">
        <v>4.1994446490143502E-3</v>
      </c>
      <c r="S35">
        <v>0</v>
      </c>
      <c r="T35">
        <v>0.80285626440534497</v>
      </c>
      <c r="U35">
        <v>0.14609272375751001</v>
      </c>
      <c r="V35">
        <v>0.44152322211908401</v>
      </c>
      <c r="W35">
        <v>1.39047221028193</v>
      </c>
      <c r="X35">
        <v>0.83476853715856203</v>
      </c>
      <c r="Y35">
        <v>4.3893249012831401E-3</v>
      </c>
      <c r="Z35">
        <v>0</v>
      </c>
      <c r="AA35">
        <v>0.83915786205984499</v>
      </c>
      <c r="AB35">
        <v>0.58437089503004103</v>
      </c>
      <c r="AC35">
        <v>1.2614949203402399</v>
      </c>
      <c r="AD35">
        <v>2.6850236774301202</v>
      </c>
      <c r="AE35">
        <v>24576.489379082799</v>
      </c>
      <c r="AF35">
        <v>2981.3407232036402</v>
      </c>
      <c r="AG35">
        <v>0</v>
      </c>
      <c r="AH35">
        <v>27557.830102286502</v>
      </c>
      <c r="AI35">
        <v>7.5911212081566204E-2</v>
      </c>
      <c r="AJ35">
        <v>4.7744407057676803E-2</v>
      </c>
      <c r="AK35">
        <v>0</v>
      </c>
      <c r="AL35">
        <v>0.123655619139243</v>
      </c>
      <c r="AM35">
        <v>3.8720359101830701</v>
      </c>
      <c r="AN35">
        <v>0.469711445059387</v>
      </c>
      <c r="AO35">
        <v>0</v>
      </c>
      <c r="AP35">
        <v>4.3417473552424601</v>
      </c>
      <c r="AQ35">
        <v>1.63434757960754</v>
      </c>
      <c r="AR35">
        <v>1.0279239913949401</v>
      </c>
      <c r="AS35">
        <v>0</v>
      </c>
      <c r="AT35">
        <v>2.6622715710024898</v>
      </c>
      <c r="AU35">
        <v>0</v>
      </c>
      <c r="AV35">
        <v>0</v>
      </c>
      <c r="AW35">
        <v>0</v>
      </c>
      <c r="AX35">
        <v>2.6622715710024898</v>
      </c>
      <c r="AY35">
        <v>1.86058031073926</v>
      </c>
      <c r="AZ35">
        <v>1.1702132173042401</v>
      </c>
      <c r="BA35">
        <v>0</v>
      </c>
      <c r="BB35">
        <v>3.0307935280435001</v>
      </c>
      <c r="BC35">
        <v>0</v>
      </c>
      <c r="BD35">
        <v>0</v>
      </c>
      <c r="BE35">
        <v>0</v>
      </c>
      <c r="BF35">
        <v>3.0307935280435001</v>
      </c>
      <c r="BG35">
        <v>4.2823888479565397</v>
      </c>
      <c r="BH35">
        <v>13.1595170947606</v>
      </c>
      <c r="BI35">
        <v>0</v>
      </c>
      <c r="BJ35">
        <v>17.441905942717099</v>
      </c>
      <c r="BK35">
        <v>0.23272465794637701</v>
      </c>
      <c r="BL35">
        <v>2.8231513839388898E-2</v>
      </c>
      <c r="BM35">
        <v>0</v>
      </c>
      <c r="BN35">
        <v>0.26095617178576502</v>
      </c>
      <c r="BO35">
        <v>3.5711544461317999</v>
      </c>
      <c r="BP35">
        <v>2461.7300465410199</v>
      </c>
    </row>
    <row r="36" spans="1:68" x14ac:dyDescent="0.25">
      <c r="A36" t="s">
        <v>37</v>
      </c>
      <c r="B36">
        <v>2027</v>
      </c>
      <c r="C36" t="s">
        <v>164</v>
      </c>
      <c r="D36">
        <v>2012</v>
      </c>
      <c r="E36" t="s">
        <v>39</v>
      </c>
      <c r="F36" t="s">
        <v>10</v>
      </c>
      <c r="G36">
        <v>1501.86881974167</v>
      </c>
      <c r="H36">
        <v>26265987.621006701</v>
      </c>
      <c r="I36">
        <v>26265987.621006701</v>
      </c>
      <c r="J36">
        <v>0</v>
      </c>
      <c r="K36">
        <v>6808512.0326640997</v>
      </c>
      <c r="L36">
        <v>0</v>
      </c>
      <c r="M36">
        <v>104.17838145098</v>
      </c>
      <c r="N36">
        <v>21.0965988634259</v>
      </c>
      <c r="O36">
        <v>19.392558410343199</v>
      </c>
      <c r="P36">
        <v>144.66753872474899</v>
      </c>
      <c r="Q36">
        <v>0.79647341967252505</v>
      </c>
      <c r="R36">
        <v>7.2691785274448398E-3</v>
      </c>
      <c r="S36">
        <v>0</v>
      </c>
      <c r="T36">
        <v>0.80374259819996996</v>
      </c>
      <c r="U36">
        <v>0.260579657225121</v>
      </c>
      <c r="V36">
        <v>0.78718483252891902</v>
      </c>
      <c r="W36">
        <v>1.8515070879540101</v>
      </c>
      <c r="X36">
        <v>0.83248641341166196</v>
      </c>
      <c r="Y36">
        <v>7.5978585239539096E-3</v>
      </c>
      <c r="Z36">
        <v>0</v>
      </c>
      <c r="AA36">
        <v>0.84008427193561597</v>
      </c>
      <c r="AB36">
        <v>1.04231862890048</v>
      </c>
      <c r="AC36">
        <v>2.24909952151119</v>
      </c>
      <c r="AD36">
        <v>4.1315024223472898</v>
      </c>
      <c r="AE36">
        <v>43995.4952406425</v>
      </c>
      <c r="AF36">
        <v>5024.69386714349</v>
      </c>
      <c r="AG36">
        <v>0</v>
      </c>
      <c r="AH36">
        <v>49020.189107785998</v>
      </c>
      <c r="AI36">
        <v>2.8065074078260099E-2</v>
      </c>
      <c r="AJ36">
        <v>8.2921859464506295E-2</v>
      </c>
      <c r="AK36">
        <v>0</v>
      </c>
      <c r="AL36">
        <v>0.11098693354276599</v>
      </c>
      <c r="AM36">
        <v>6.9315081918511803</v>
      </c>
      <c r="AN36">
        <v>0.79164256502050101</v>
      </c>
      <c r="AO36">
        <v>0</v>
      </c>
      <c r="AP36">
        <v>7.7231507568716804</v>
      </c>
      <c r="AQ36">
        <v>0.60423334885004698</v>
      </c>
      <c r="AR36">
        <v>1.78528489528996</v>
      </c>
      <c r="AS36">
        <v>0</v>
      </c>
      <c r="AT36">
        <v>2.38951824414</v>
      </c>
      <c r="AU36">
        <v>0</v>
      </c>
      <c r="AV36">
        <v>0</v>
      </c>
      <c r="AW36">
        <v>0</v>
      </c>
      <c r="AX36">
        <v>2.38951824414</v>
      </c>
      <c r="AY36">
        <v>0.68787367264459398</v>
      </c>
      <c r="AZ36">
        <v>2.0324109551006999</v>
      </c>
      <c r="BA36">
        <v>0</v>
      </c>
      <c r="BB36">
        <v>2.7202846277453001</v>
      </c>
      <c r="BC36">
        <v>0</v>
      </c>
      <c r="BD36">
        <v>0</v>
      </c>
      <c r="BE36">
        <v>0</v>
      </c>
      <c r="BF36">
        <v>2.7202846277453001</v>
      </c>
      <c r="BG36">
        <v>5.0822217205634903</v>
      </c>
      <c r="BH36">
        <v>26.379047710687001</v>
      </c>
      <c r="BI36">
        <v>0</v>
      </c>
      <c r="BJ36">
        <v>31.4612694312505</v>
      </c>
      <c r="BK36">
        <v>0.41661103110089798</v>
      </c>
      <c r="BL36">
        <v>4.7580846209527398E-2</v>
      </c>
      <c r="BM36">
        <v>0</v>
      </c>
      <c r="BN36">
        <v>0.46419187731042499</v>
      </c>
      <c r="BO36">
        <v>6.3697231288231997</v>
      </c>
      <c r="BP36">
        <v>4378.9540746079001</v>
      </c>
    </row>
    <row r="37" spans="1:68" x14ac:dyDescent="0.25">
      <c r="A37" t="s">
        <v>37</v>
      </c>
      <c r="B37">
        <v>2027</v>
      </c>
      <c r="C37" t="s">
        <v>164</v>
      </c>
      <c r="D37">
        <v>2013</v>
      </c>
      <c r="E37" t="s">
        <v>39</v>
      </c>
      <c r="F37" t="s">
        <v>10</v>
      </c>
      <c r="G37">
        <v>1519.7862478979901</v>
      </c>
      <c r="H37">
        <v>27392162.667820498</v>
      </c>
      <c r="I37">
        <v>27392162.667820498</v>
      </c>
      <c r="J37">
        <v>0</v>
      </c>
      <c r="K37">
        <v>6889738.18477087</v>
      </c>
      <c r="L37">
        <v>0</v>
      </c>
      <c r="M37">
        <v>101.445513253153</v>
      </c>
      <c r="N37">
        <v>21.348283158025801</v>
      </c>
      <c r="O37">
        <v>28.182346284519699</v>
      </c>
      <c r="P37">
        <v>150.976142695698</v>
      </c>
      <c r="Q37">
        <v>0.80021008077007305</v>
      </c>
      <c r="R37">
        <v>7.3559004716712397E-3</v>
      </c>
      <c r="S37">
        <v>0</v>
      </c>
      <c r="T37">
        <v>0.80756598124174395</v>
      </c>
      <c r="U37">
        <v>0.271752216654774</v>
      </c>
      <c r="V37">
        <v>0.82118084375387601</v>
      </c>
      <c r="W37">
        <v>1.90049904165039</v>
      </c>
      <c r="X37">
        <v>0.83639202974285198</v>
      </c>
      <c r="Y37">
        <v>7.6885016496753096E-3</v>
      </c>
      <c r="Z37">
        <v>0</v>
      </c>
      <c r="AA37">
        <v>0.84408053139252703</v>
      </c>
      <c r="AB37">
        <v>1.08700886661909</v>
      </c>
      <c r="AC37">
        <v>2.34623098215393</v>
      </c>
      <c r="AD37">
        <v>4.2773203801655502</v>
      </c>
      <c r="AE37">
        <v>43065.8185200999</v>
      </c>
      <c r="AF37">
        <v>5084.6389104047003</v>
      </c>
      <c r="AG37">
        <v>0</v>
      </c>
      <c r="AH37">
        <v>48150.457430504597</v>
      </c>
      <c r="AI37">
        <v>2.8920545629576699E-2</v>
      </c>
      <c r="AJ37">
        <v>8.3911124598727502E-2</v>
      </c>
      <c r="AK37">
        <v>0</v>
      </c>
      <c r="AL37">
        <v>0.112831670228304</v>
      </c>
      <c r="AM37">
        <v>6.7850372459289403</v>
      </c>
      <c r="AN37">
        <v>0.80108693099827399</v>
      </c>
      <c r="AO37">
        <v>0</v>
      </c>
      <c r="AP37">
        <v>7.5861241769272096</v>
      </c>
      <c r="AQ37">
        <v>0.62265141676095104</v>
      </c>
      <c r="AR37">
        <v>1.8065835023516801</v>
      </c>
      <c r="AS37">
        <v>0</v>
      </c>
      <c r="AT37">
        <v>2.4292349191126301</v>
      </c>
      <c r="AU37">
        <v>0</v>
      </c>
      <c r="AV37">
        <v>0</v>
      </c>
      <c r="AW37">
        <v>0</v>
      </c>
      <c r="AX37">
        <v>2.4292349191126301</v>
      </c>
      <c r="AY37">
        <v>0.70884124095409295</v>
      </c>
      <c r="AZ37">
        <v>2.05665779796306</v>
      </c>
      <c r="BA37">
        <v>0</v>
      </c>
      <c r="BB37">
        <v>2.7654990389171501</v>
      </c>
      <c r="BC37">
        <v>0</v>
      </c>
      <c r="BD37">
        <v>0</v>
      </c>
      <c r="BE37">
        <v>0</v>
      </c>
      <c r="BF37">
        <v>2.7654990389171501</v>
      </c>
      <c r="BG37">
        <v>5.2466741940815798</v>
      </c>
      <c r="BH37">
        <v>26.693752088310202</v>
      </c>
      <c r="BI37">
        <v>0</v>
      </c>
      <c r="BJ37">
        <v>31.940426282391801</v>
      </c>
      <c r="BK37">
        <v>0.40780754849393402</v>
      </c>
      <c r="BL37">
        <v>4.81484899227268E-2</v>
      </c>
      <c r="BM37">
        <v>0</v>
      </c>
      <c r="BN37">
        <v>0.45595603841666099</v>
      </c>
      <c r="BO37">
        <v>6.6428300588309002</v>
      </c>
      <c r="BP37">
        <v>4301.2612884035698</v>
      </c>
    </row>
    <row r="38" spans="1:68" x14ac:dyDescent="0.25">
      <c r="A38" t="s">
        <v>37</v>
      </c>
      <c r="B38">
        <v>2027</v>
      </c>
      <c r="C38" t="s">
        <v>164</v>
      </c>
      <c r="D38">
        <v>2014</v>
      </c>
      <c r="E38" t="s">
        <v>39</v>
      </c>
      <c r="F38" t="s">
        <v>10</v>
      </c>
      <c r="G38">
        <v>1723.50852410743</v>
      </c>
      <c r="H38">
        <v>32034995.674658999</v>
      </c>
      <c r="I38">
        <v>32034995.674658999</v>
      </c>
      <c r="J38">
        <v>0</v>
      </c>
      <c r="K38">
        <v>7813284.6028476702</v>
      </c>
      <c r="L38">
        <v>0</v>
      </c>
      <c r="M38">
        <v>47.220236514385803</v>
      </c>
      <c r="N38">
        <v>24.2099492930707</v>
      </c>
      <c r="O38">
        <v>31.960095781822801</v>
      </c>
      <c r="P38">
        <v>103.390281589279</v>
      </c>
      <c r="Q38">
        <v>1.10357858962954</v>
      </c>
      <c r="R38">
        <v>8.34193438909322E-3</v>
      </c>
      <c r="S38">
        <v>0</v>
      </c>
      <c r="T38">
        <v>1.1119205240186301</v>
      </c>
      <c r="U38">
        <v>0.317812842698314</v>
      </c>
      <c r="V38">
        <v>0.96075730873979204</v>
      </c>
      <c r="W38">
        <v>2.3904906754567401</v>
      </c>
      <c r="X38">
        <v>1.1534775163951201</v>
      </c>
      <c r="Y38">
        <v>8.7191196453823994E-3</v>
      </c>
      <c r="Z38">
        <v>0</v>
      </c>
      <c r="AA38">
        <v>1.1621966360405001</v>
      </c>
      <c r="AB38">
        <v>1.27125137079325</v>
      </c>
      <c r="AC38">
        <v>2.7450208821136899</v>
      </c>
      <c r="AD38">
        <v>5.1784688889474602</v>
      </c>
      <c r="AE38">
        <v>56684.002587325696</v>
      </c>
      <c r="AF38">
        <v>5018.7087291051403</v>
      </c>
      <c r="AG38">
        <v>0</v>
      </c>
      <c r="AH38">
        <v>61702.711316430898</v>
      </c>
      <c r="AI38">
        <v>1.6450452553162999E-2</v>
      </c>
      <c r="AJ38">
        <v>9.5159130906318098E-2</v>
      </c>
      <c r="AK38">
        <v>0</v>
      </c>
      <c r="AL38">
        <v>0.11160958345948099</v>
      </c>
      <c r="AM38">
        <v>8.9305876915780296</v>
      </c>
      <c r="AN38">
        <v>0.79069960408517603</v>
      </c>
      <c r="AO38">
        <v>0</v>
      </c>
      <c r="AP38">
        <v>9.7212872956632097</v>
      </c>
      <c r="AQ38">
        <v>0.35417373239702898</v>
      </c>
      <c r="AR38">
        <v>2.0487499937056701</v>
      </c>
      <c r="AS38">
        <v>0</v>
      </c>
      <c r="AT38">
        <v>2.4029237261027001</v>
      </c>
      <c r="AU38">
        <v>0</v>
      </c>
      <c r="AV38">
        <v>0</v>
      </c>
      <c r="AW38">
        <v>0</v>
      </c>
      <c r="AX38">
        <v>2.4029237261027001</v>
      </c>
      <c r="AY38">
        <v>0.40319983417308702</v>
      </c>
      <c r="AZ38">
        <v>2.3323459143441698</v>
      </c>
      <c r="BA38">
        <v>0</v>
      </c>
      <c r="BB38">
        <v>2.7355457485172598</v>
      </c>
      <c r="BC38">
        <v>0</v>
      </c>
      <c r="BD38">
        <v>0</v>
      </c>
      <c r="BE38">
        <v>0</v>
      </c>
      <c r="BF38">
        <v>2.7355457485172598</v>
      </c>
      <c r="BG38">
        <v>2.6917652976114601</v>
      </c>
      <c r="BH38">
        <v>30.2719604998696</v>
      </c>
      <c r="BI38">
        <v>0</v>
      </c>
      <c r="BJ38">
        <v>32.963725797481104</v>
      </c>
      <c r="BK38">
        <v>0.53676360808449997</v>
      </c>
      <c r="BL38">
        <v>4.7524170531351703E-2</v>
      </c>
      <c r="BM38">
        <v>0</v>
      </c>
      <c r="BN38">
        <v>0.58428777861585202</v>
      </c>
      <c r="BO38">
        <v>7.7687561505370901</v>
      </c>
      <c r="BP38">
        <v>5511.8787595726399</v>
      </c>
    </row>
    <row r="39" spans="1:68" x14ac:dyDescent="0.25">
      <c r="A39" t="s">
        <v>37</v>
      </c>
      <c r="B39">
        <v>2027</v>
      </c>
      <c r="C39" t="s">
        <v>164</v>
      </c>
      <c r="D39">
        <v>2015</v>
      </c>
      <c r="E39" t="s">
        <v>39</v>
      </c>
      <c r="F39" t="s">
        <v>10</v>
      </c>
      <c r="G39">
        <v>1856.9367278838599</v>
      </c>
      <c r="H39">
        <v>35640125.6247131</v>
      </c>
      <c r="I39">
        <v>35640125.6247131</v>
      </c>
      <c r="J39">
        <v>0</v>
      </c>
      <c r="K39">
        <v>8418162.6847195793</v>
      </c>
      <c r="L39">
        <v>0</v>
      </c>
      <c r="M39">
        <v>52.042675167370597</v>
      </c>
      <c r="N39">
        <v>26.084201727862499</v>
      </c>
      <c r="O39">
        <v>34.434338359125803</v>
      </c>
      <c r="P39">
        <v>112.561215254359</v>
      </c>
      <c r="Q39">
        <v>1.2086914490681699</v>
      </c>
      <c r="R39">
        <v>8.9877387503649198E-3</v>
      </c>
      <c r="S39">
        <v>0</v>
      </c>
      <c r="T39">
        <v>1.21767918781854</v>
      </c>
      <c r="U39">
        <v>0.353578622389987</v>
      </c>
      <c r="V39">
        <v>1.0679340711145699</v>
      </c>
      <c r="W39">
        <v>2.6391918813231001</v>
      </c>
      <c r="X39">
        <v>1.2633431129061701</v>
      </c>
      <c r="Y39">
        <v>9.39412441415639E-3</v>
      </c>
      <c r="Z39">
        <v>0</v>
      </c>
      <c r="AA39">
        <v>1.2727372373203201</v>
      </c>
      <c r="AB39">
        <v>1.41431448955994</v>
      </c>
      <c r="AC39">
        <v>3.0512402031844901</v>
      </c>
      <c r="AD39">
        <v>5.7382919300647703</v>
      </c>
      <c r="AE39">
        <v>63056.670281554398</v>
      </c>
      <c r="AF39">
        <v>5407.2401936352398</v>
      </c>
      <c r="AG39">
        <v>0</v>
      </c>
      <c r="AH39">
        <v>68463.910475189696</v>
      </c>
      <c r="AI39">
        <v>1.81155087259036E-2</v>
      </c>
      <c r="AJ39">
        <v>0.10252602914451001</v>
      </c>
      <c r="AK39">
        <v>0</v>
      </c>
      <c r="AL39">
        <v>0.120641537870413</v>
      </c>
      <c r="AM39">
        <v>9.9346040820035206</v>
      </c>
      <c r="AN39">
        <v>0.85191289454711705</v>
      </c>
      <c r="AO39">
        <v>0</v>
      </c>
      <c r="AP39">
        <v>10.786516976550599</v>
      </c>
      <c r="AQ39">
        <v>0.39002193520144801</v>
      </c>
      <c r="AR39">
        <v>2.2073572926099101</v>
      </c>
      <c r="AS39">
        <v>0</v>
      </c>
      <c r="AT39">
        <v>2.5973792278113601</v>
      </c>
      <c r="AU39">
        <v>0</v>
      </c>
      <c r="AV39">
        <v>0</v>
      </c>
      <c r="AW39">
        <v>0</v>
      </c>
      <c r="AX39">
        <v>2.5973792278113601</v>
      </c>
      <c r="AY39">
        <v>0.44401028425452299</v>
      </c>
      <c r="AZ39">
        <v>2.5129082507546601</v>
      </c>
      <c r="BA39">
        <v>0</v>
      </c>
      <c r="BB39">
        <v>2.9569185350091902</v>
      </c>
      <c r="BC39">
        <v>0</v>
      </c>
      <c r="BD39">
        <v>0</v>
      </c>
      <c r="BE39">
        <v>0</v>
      </c>
      <c r="BF39">
        <v>2.9569185350091902</v>
      </c>
      <c r="BG39">
        <v>2.9571887937804702</v>
      </c>
      <c r="BH39">
        <v>32.615513350227801</v>
      </c>
      <c r="BI39">
        <v>0</v>
      </c>
      <c r="BJ39">
        <v>35.572702144008304</v>
      </c>
      <c r="BK39">
        <v>0.59710896036282701</v>
      </c>
      <c r="BL39">
        <v>5.1203331162858801E-2</v>
      </c>
      <c r="BM39">
        <v>0</v>
      </c>
      <c r="BN39">
        <v>0.64831229152568504</v>
      </c>
      <c r="BO39">
        <v>8.6430305146545603</v>
      </c>
      <c r="BP39">
        <v>6115.8540021075496</v>
      </c>
    </row>
    <row r="40" spans="1:68" x14ac:dyDescent="0.25">
      <c r="A40" t="s">
        <v>37</v>
      </c>
      <c r="B40">
        <v>2027</v>
      </c>
      <c r="C40" t="s">
        <v>164</v>
      </c>
      <c r="D40">
        <v>2016</v>
      </c>
      <c r="E40" t="s">
        <v>39</v>
      </c>
      <c r="F40" t="s">
        <v>10</v>
      </c>
      <c r="G40">
        <v>2390.2543429427001</v>
      </c>
      <c r="H40">
        <v>47368600.060108602</v>
      </c>
      <c r="I40">
        <v>47368600.060108602</v>
      </c>
      <c r="J40">
        <v>0</v>
      </c>
      <c r="K40">
        <v>10835883.428122699</v>
      </c>
      <c r="L40">
        <v>0</v>
      </c>
      <c r="M40">
        <v>68.426502156573406</v>
      </c>
      <c r="N40">
        <v>33.575660132086398</v>
      </c>
      <c r="O40">
        <v>52.307230893403897</v>
      </c>
      <c r="P40">
        <v>154.30939318206299</v>
      </c>
      <c r="Q40">
        <v>1.57008152485277</v>
      </c>
      <c r="R40">
        <v>1.1569043392111599E-2</v>
      </c>
      <c r="S40">
        <v>0</v>
      </c>
      <c r="T40">
        <v>1.58165056824488</v>
      </c>
      <c r="U40">
        <v>0.46993449266020199</v>
      </c>
      <c r="V40">
        <v>1.42033142404613</v>
      </c>
      <c r="W40">
        <v>3.4719164849512199</v>
      </c>
      <c r="X40">
        <v>1.64107364427303</v>
      </c>
      <c r="Y40">
        <v>1.2092144197433201E-2</v>
      </c>
      <c r="Z40">
        <v>0</v>
      </c>
      <c r="AA40">
        <v>1.65316578847046</v>
      </c>
      <c r="AB40">
        <v>1.8797379706408099</v>
      </c>
      <c r="AC40">
        <v>4.0580897829889704</v>
      </c>
      <c r="AD40">
        <v>7.5909935421002404</v>
      </c>
      <c r="AE40">
        <v>83813.499427620001</v>
      </c>
      <c r="AF40">
        <v>6960.2152631768904</v>
      </c>
      <c r="AG40">
        <v>0</v>
      </c>
      <c r="AH40">
        <v>90773.7146907969</v>
      </c>
      <c r="AI40">
        <v>2.3805775380467398E-2</v>
      </c>
      <c r="AJ40">
        <v>0.131971802133833</v>
      </c>
      <c r="AK40">
        <v>0</v>
      </c>
      <c r="AL40">
        <v>0.15577757751429999</v>
      </c>
      <c r="AM40">
        <v>13.2048509669595</v>
      </c>
      <c r="AN40">
        <v>1.09658474918564</v>
      </c>
      <c r="AO40">
        <v>0</v>
      </c>
      <c r="AP40">
        <v>14.3014357161451</v>
      </c>
      <c r="AQ40">
        <v>0.51253181587909002</v>
      </c>
      <c r="AR40">
        <v>2.8413167103974102</v>
      </c>
      <c r="AS40">
        <v>0</v>
      </c>
      <c r="AT40">
        <v>3.3538485262764999</v>
      </c>
      <c r="AU40">
        <v>0</v>
      </c>
      <c r="AV40">
        <v>0</v>
      </c>
      <c r="AW40">
        <v>0</v>
      </c>
      <c r="AX40">
        <v>3.3538485262764999</v>
      </c>
      <c r="AY40">
        <v>0.58347845779602403</v>
      </c>
      <c r="AZ40">
        <v>3.2346227900978701</v>
      </c>
      <c r="BA40">
        <v>0</v>
      </c>
      <c r="BB40">
        <v>3.8181012478938898</v>
      </c>
      <c r="BC40">
        <v>0</v>
      </c>
      <c r="BD40">
        <v>0</v>
      </c>
      <c r="BE40">
        <v>0</v>
      </c>
      <c r="BF40">
        <v>3.8181012478938898</v>
      </c>
      <c r="BG40">
        <v>3.8930624920115302</v>
      </c>
      <c r="BH40">
        <v>41.982783399157199</v>
      </c>
      <c r="BI40">
        <v>0</v>
      </c>
      <c r="BJ40">
        <v>45.875845891168801</v>
      </c>
      <c r="BK40">
        <v>0.79366372001783403</v>
      </c>
      <c r="BL40">
        <v>6.5909076409205195E-2</v>
      </c>
      <c r="BM40">
        <v>0</v>
      </c>
      <c r="BN40">
        <v>0.85957279642703999</v>
      </c>
      <c r="BO40">
        <v>11.487284306094001</v>
      </c>
      <c r="BP40">
        <v>8108.7799750944796</v>
      </c>
    </row>
    <row r="41" spans="1:68" x14ac:dyDescent="0.25">
      <c r="A41" t="s">
        <v>37</v>
      </c>
      <c r="B41">
        <v>2027</v>
      </c>
      <c r="C41" t="s">
        <v>164</v>
      </c>
      <c r="D41">
        <v>2017</v>
      </c>
      <c r="E41" t="s">
        <v>39</v>
      </c>
      <c r="F41" t="s">
        <v>10</v>
      </c>
      <c r="G41">
        <v>1574.82290321554</v>
      </c>
      <c r="H41">
        <v>32249491.801125702</v>
      </c>
      <c r="I41">
        <v>32249491.801125702</v>
      </c>
      <c r="J41">
        <v>0</v>
      </c>
      <c r="K41">
        <v>7139239.15652119</v>
      </c>
      <c r="L41">
        <v>0</v>
      </c>
      <c r="M41">
        <v>45.954444586316299</v>
      </c>
      <c r="N41">
        <v>22.121377468765001</v>
      </c>
      <c r="O41">
        <v>34.462702874248201</v>
      </c>
      <c r="P41">
        <v>102.538524929329</v>
      </c>
      <c r="Q41">
        <v>0.85498070172273699</v>
      </c>
      <c r="R41">
        <v>7.6222827733728399E-3</v>
      </c>
      <c r="S41">
        <v>0</v>
      </c>
      <c r="T41">
        <v>0.86260298449610895</v>
      </c>
      <c r="U41">
        <v>0.31994081625549797</v>
      </c>
      <c r="V41">
        <v>0.96689895675133297</v>
      </c>
      <c r="W41">
        <v>2.14944275750294</v>
      </c>
      <c r="X41">
        <v>0.89363913513396398</v>
      </c>
      <c r="Y41">
        <v>7.9669285770058908E-3</v>
      </c>
      <c r="Z41">
        <v>0</v>
      </c>
      <c r="AA41">
        <v>0.90160606371096996</v>
      </c>
      <c r="AB41">
        <v>1.2797632650219899</v>
      </c>
      <c r="AC41">
        <v>2.76256844786095</v>
      </c>
      <c r="AD41">
        <v>4.9439377765939101</v>
      </c>
      <c r="AE41">
        <v>59498.889302297102</v>
      </c>
      <c r="AF41">
        <v>4453.8223425091301</v>
      </c>
      <c r="AG41">
        <v>0</v>
      </c>
      <c r="AH41">
        <v>63952.711644806201</v>
      </c>
      <c r="AI41">
        <v>1.6789089961933502E-2</v>
      </c>
      <c r="AJ41">
        <v>8.6949833264656495E-2</v>
      </c>
      <c r="AK41">
        <v>0</v>
      </c>
      <c r="AL41">
        <v>0.10373892322658999</v>
      </c>
      <c r="AM41">
        <v>9.3740742398538295</v>
      </c>
      <c r="AN41">
        <v>0.70170152383312501</v>
      </c>
      <c r="AO41">
        <v>0</v>
      </c>
      <c r="AP41">
        <v>10.075775763686901</v>
      </c>
      <c r="AQ41">
        <v>0.361464502946102</v>
      </c>
      <c r="AR41">
        <v>1.8720060666489999</v>
      </c>
      <c r="AS41">
        <v>0</v>
      </c>
      <c r="AT41">
        <v>2.2334705695951</v>
      </c>
      <c r="AU41">
        <v>0</v>
      </c>
      <c r="AV41">
        <v>0</v>
      </c>
      <c r="AW41">
        <v>0</v>
      </c>
      <c r="AX41">
        <v>2.2334705695951</v>
      </c>
      <c r="AY41">
        <v>0.41149982146035602</v>
      </c>
      <c r="AZ41">
        <v>2.1311364073656498</v>
      </c>
      <c r="BA41">
        <v>0</v>
      </c>
      <c r="BB41">
        <v>2.54263622882601</v>
      </c>
      <c r="BC41">
        <v>0</v>
      </c>
      <c r="BD41">
        <v>0</v>
      </c>
      <c r="BE41">
        <v>0</v>
      </c>
      <c r="BF41">
        <v>2.54263622882601</v>
      </c>
      <c r="BG41">
        <v>1.48267453600692</v>
      </c>
      <c r="BH41">
        <v>27.660424102120199</v>
      </c>
      <c r="BI41">
        <v>0</v>
      </c>
      <c r="BJ41">
        <v>29.1430986381271</v>
      </c>
      <c r="BK41">
        <v>0.56341890200361699</v>
      </c>
      <c r="BL41">
        <v>4.2175034246207201E-2</v>
      </c>
      <c r="BM41">
        <v>0</v>
      </c>
      <c r="BN41">
        <v>0.60559393624982405</v>
      </c>
      <c r="BO41">
        <v>7.82077326702675</v>
      </c>
      <c r="BP41">
        <v>5712.8703976127199</v>
      </c>
    </row>
    <row r="42" spans="1:68" x14ac:dyDescent="0.25">
      <c r="A42" t="s">
        <v>106</v>
      </c>
      <c r="M42" s="75">
        <f>SUM(M34:M41)*453.6*2000/SUM($H$34:$H$41)</f>
        <v>2.0556954115992734</v>
      </c>
      <c r="O42">
        <f t="shared" ref="O42:AM42" si="4">SUM(O34:O41)*453.6*2000/SUM($H$34:$H$41)</f>
        <v>0.88273583695567459</v>
      </c>
      <c r="P42">
        <f t="shared" si="4"/>
        <v>3.6209896328633491</v>
      </c>
      <c r="Q42" s="74">
        <f t="shared" si="4"/>
        <v>3.0002115386619038E-2</v>
      </c>
      <c r="R42" s="74"/>
      <c r="S42" s="74">
        <f t="shared" si="4"/>
        <v>0</v>
      </c>
      <c r="T42" s="74">
        <f t="shared" si="4"/>
        <v>3.0234943437126051E-2</v>
      </c>
      <c r="U42" s="74">
        <f t="shared" si="4"/>
        <v>9.0001513914354479E-3</v>
      </c>
      <c r="V42" s="74">
        <f t="shared" si="4"/>
        <v>2.7197041584437399E-2</v>
      </c>
      <c r="W42" s="74">
        <f t="shared" si="4"/>
        <v>6.6432136412998902E-2</v>
      </c>
      <c r="X42" s="74">
        <f t="shared" si="4"/>
        <v>3.1358677911986675E-2</v>
      </c>
      <c r="Y42" s="74"/>
      <c r="Z42" s="74">
        <f t="shared" si="4"/>
        <v>0</v>
      </c>
      <c r="AA42" s="74">
        <f t="shared" si="4"/>
        <v>3.1602033413778388E-2</v>
      </c>
      <c r="AB42" s="74">
        <f t="shared" si="4"/>
        <v>3.6000605565741695E-2</v>
      </c>
      <c r="AC42" s="74">
        <f t="shared" si="4"/>
        <v>7.7705833098392657E-2</v>
      </c>
      <c r="AD42" s="74">
        <f t="shared" si="4"/>
        <v>0.14530847207791292</v>
      </c>
      <c r="AE42" s="73">
        <f t="shared" si="4"/>
        <v>1576.0566454386064</v>
      </c>
      <c r="AF42" s="74"/>
      <c r="AG42" s="74">
        <f t="shared" si="4"/>
        <v>0</v>
      </c>
      <c r="AH42" s="74">
        <f t="shared" si="4"/>
        <v>1723.0076464513143</v>
      </c>
      <c r="AI42" s="74">
        <f t="shared" si="4"/>
        <v>8.7518318394895608E-4</v>
      </c>
      <c r="AJ42" s="74"/>
      <c r="AK42" s="74">
        <f t="shared" si="4"/>
        <v>0</v>
      </c>
      <c r="AL42" s="74">
        <f t="shared" si="4"/>
        <v>3.5304494083839614E-3</v>
      </c>
      <c r="AM42" s="74">
        <f t="shared" si="4"/>
        <v>0.24830836632081621</v>
      </c>
      <c r="AN42" s="74"/>
    </row>
    <row r="43" spans="1:68" x14ac:dyDescent="0.25">
      <c r="A43" t="s">
        <v>283</v>
      </c>
      <c r="N43" s="75">
        <f>SUM(N34:N41)*453.6*2000/SUM($G$34:$G$41)/312</f>
        <v>41.257820830938698</v>
      </c>
      <c r="O43">
        <f t="shared" ref="O43:AN43" si="5">SUM(O34:O41)*453.6*2000/SUM($G$34:$G$41)/312</f>
        <v>53.357716848013823</v>
      </c>
      <c r="P43">
        <f t="shared" si="5"/>
        <v>218.87379151416252</v>
      </c>
      <c r="Q43" s="74"/>
      <c r="R43" s="74">
        <f t="shared" si="5"/>
        <v>1.4073489115466863E-2</v>
      </c>
      <c r="S43" s="74">
        <f t="shared" si="5"/>
        <v>0</v>
      </c>
      <c r="T43" s="74">
        <f t="shared" si="5"/>
        <v>1.8275768166359079</v>
      </c>
      <c r="U43" s="74">
        <f t="shared" si="5"/>
        <v>0.54402178933807599</v>
      </c>
      <c r="V43" s="74">
        <f t="shared" si="5"/>
        <v>1.64394826086452</v>
      </c>
      <c r="W43" s="74">
        <f t="shared" si="5"/>
        <v>4.0155468668385046</v>
      </c>
      <c r="X43" s="74"/>
      <c r="Y43" s="74">
        <f t="shared" si="5"/>
        <v>1.4709829843085252E-2</v>
      </c>
      <c r="Z43" s="74">
        <f t="shared" si="5"/>
        <v>0</v>
      </c>
      <c r="AA43" s="74">
        <f t="shared" si="5"/>
        <v>1.9102117305321655</v>
      </c>
      <c r="AB43" s="74">
        <f t="shared" si="5"/>
        <v>2.1760871573522982</v>
      </c>
      <c r="AC43" s="74">
        <f t="shared" si="5"/>
        <v>4.6969950310414914</v>
      </c>
      <c r="AD43" s="74">
        <f t="shared" si="5"/>
        <v>8.7832939189259651</v>
      </c>
      <c r="AE43" s="74"/>
      <c r="AF43" s="73">
        <f t="shared" si="5"/>
        <v>8882.5779744138126</v>
      </c>
      <c r="AG43" s="74">
        <f t="shared" si="5"/>
        <v>0</v>
      </c>
      <c r="AH43" s="74">
        <f t="shared" si="5"/>
        <v>104148.65951672965</v>
      </c>
      <c r="AI43" s="74"/>
      <c r="AJ43" s="74">
        <f t="shared" si="5"/>
        <v>0.1604998204764313</v>
      </c>
      <c r="AK43" s="74">
        <f t="shared" si="5"/>
        <v>0</v>
      </c>
      <c r="AL43" s="74">
        <f t="shared" si="5"/>
        <v>0.21340101080347146</v>
      </c>
      <c r="AM43" s="74"/>
      <c r="AN43" s="74">
        <f t="shared" si="5"/>
        <v>1.3994537772023723</v>
      </c>
    </row>
    <row r="44" spans="1:68" x14ac:dyDescent="0.25">
      <c r="BP44" s="74">
        <f>SUM(H34:H41)/(SUM(BP34:BP41)*1000)</f>
        <v>5.8941397484506748</v>
      </c>
    </row>
    <row r="46" spans="1:68" x14ac:dyDescent="0.25">
      <c r="A46" t="s">
        <v>37</v>
      </c>
      <c r="B46">
        <v>2028</v>
      </c>
      <c r="C46" t="s">
        <v>164</v>
      </c>
      <c r="D46">
        <v>2010</v>
      </c>
      <c r="E46" t="s">
        <v>39</v>
      </c>
      <c r="F46" t="s">
        <v>10</v>
      </c>
      <c r="G46">
        <v>1.3327955441297501</v>
      </c>
      <c r="H46">
        <v>834.35816953391497</v>
      </c>
      <c r="I46">
        <v>834.35816953391497</v>
      </c>
      <c r="J46">
        <v>0</v>
      </c>
      <c r="K46">
        <v>6042.0420079360701</v>
      </c>
      <c r="L46">
        <v>0</v>
      </c>
      <c r="M46">
        <v>6.4994748980024596E-3</v>
      </c>
      <c r="N46">
        <v>2.8009640041646799E-2</v>
      </c>
      <c r="O46">
        <v>2.51467047200135E-3</v>
      </c>
      <c r="P46">
        <v>3.7023785411650599E-2</v>
      </c>
      <c r="Q46">
        <v>4.1087025289582502E-5</v>
      </c>
      <c r="R46">
        <v>6.4508488514520297E-6</v>
      </c>
      <c r="S46">
        <v>0</v>
      </c>
      <c r="T46">
        <v>4.7537874141034502E-5</v>
      </c>
      <c r="U46">
        <v>8.2775020287546192E-6</v>
      </c>
      <c r="V46">
        <v>2.50547514553677E-5</v>
      </c>
      <c r="W46">
        <v>8.0870127625156906E-5</v>
      </c>
      <c r="X46">
        <v>4.2944798252202898E-5</v>
      </c>
      <c r="Y46">
        <v>6.7425276112968704E-6</v>
      </c>
      <c r="Z46">
        <v>0</v>
      </c>
      <c r="AA46">
        <v>4.9687325863499799E-5</v>
      </c>
      <c r="AB46">
        <v>3.3110008115018402E-5</v>
      </c>
      <c r="AC46">
        <v>7.1585004158193605E-5</v>
      </c>
      <c r="AD46">
        <v>1.5438233813671199E-4</v>
      </c>
      <c r="AE46">
        <v>1.4794282472782101</v>
      </c>
      <c r="AF46">
        <v>5.0132403603173001</v>
      </c>
      <c r="AG46">
        <v>0</v>
      </c>
      <c r="AH46">
        <v>6.4926686075955198</v>
      </c>
      <c r="AI46">
        <v>7.9857059914902397E-6</v>
      </c>
      <c r="AJ46">
        <v>7.2457934429598898E-5</v>
      </c>
      <c r="AK46">
        <v>0</v>
      </c>
      <c r="AL46">
        <v>8.04436404210891E-5</v>
      </c>
      <c r="AM46">
        <v>2.3308452283978001E-4</v>
      </c>
      <c r="AN46">
        <v>7.8983806035571897E-4</v>
      </c>
      <c r="AO46">
        <v>0</v>
      </c>
      <c r="AP46">
        <v>1.0229225831955E-3</v>
      </c>
      <c r="AQ46">
        <v>1.7193006014218099E-4</v>
      </c>
      <c r="AR46">
        <v>1.5599994587246701E-3</v>
      </c>
      <c r="AS46">
        <v>0</v>
      </c>
      <c r="AT46">
        <v>1.73192951886685E-3</v>
      </c>
      <c r="AU46">
        <v>0</v>
      </c>
      <c r="AV46">
        <v>0</v>
      </c>
      <c r="AW46">
        <v>0</v>
      </c>
      <c r="AX46">
        <v>1.73192951886685E-3</v>
      </c>
      <c r="AY46">
        <v>1.9572928593413001E-4</v>
      </c>
      <c r="AZ46">
        <v>1.7759406345888801E-3</v>
      </c>
      <c r="BA46">
        <v>0</v>
      </c>
      <c r="BB46">
        <v>1.9716699205230099E-3</v>
      </c>
      <c r="BC46">
        <v>0</v>
      </c>
      <c r="BD46">
        <v>0</v>
      </c>
      <c r="BE46">
        <v>0</v>
      </c>
      <c r="BF46">
        <v>1.9716699205230099E-3</v>
      </c>
      <c r="BG46">
        <v>4.0497403354319503E-4</v>
      </c>
      <c r="BH46">
        <v>8.7350293086185908E-3</v>
      </c>
      <c r="BI46">
        <v>0</v>
      </c>
      <c r="BJ46">
        <v>9.1400033421617892E-3</v>
      </c>
      <c r="BK46">
        <v>1.4009300819712099E-5</v>
      </c>
      <c r="BL46">
        <v>4.7472388348956002E-5</v>
      </c>
      <c r="BM46">
        <v>0</v>
      </c>
      <c r="BN46">
        <v>6.1481689168668195E-5</v>
      </c>
      <c r="BO46">
        <v>3.4949442993753998E-5</v>
      </c>
      <c r="BP46">
        <v>0.579987514772631</v>
      </c>
    </row>
    <row r="47" spans="1:68" x14ac:dyDescent="0.25">
      <c r="A47" t="s">
        <v>37</v>
      </c>
      <c r="B47">
        <v>2028</v>
      </c>
      <c r="C47" t="s">
        <v>164</v>
      </c>
      <c r="D47">
        <v>2011</v>
      </c>
      <c r="E47" t="s">
        <v>39</v>
      </c>
      <c r="F47" t="s">
        <v>10</v>
      </c>
      <c r="G47">
        <v>760.97147720797602</v>
      </c>
      <c r="H47">
        <v>12368585.6008633</v>
      </c>
      <c r="I47">
        <v>12368585.6008633</v>
      </c>
      <c r="J47">
        <v>0</v>
      </c>
      <c r="K47">
        <v>3449757.65591555</v>
      </c>
      <c r="L47">
        <v>0</v>
      </c>
      <c r="M47">
        <v>58.445205840029097</v>
      </c>
      <c r="N47">
        <v>12.1075855359967</v>
      </c>
      <c r="O47">
        <v>7.9988048987806799</v>
      </c>
      <c r="P47">
        <v>78.551596274806599</v>
      </c>
      <c r="Q47">
        <v>0.67253709637610903</v>
      </c>
      <c r="R47">
        <v>3.6831695614199301E-3</v>
      </c>
      <c r="S47">
        <v>0</v>
      </c>
      <c r="T47">
        <v>0.67622026593752904</v>
      </c>
      <c r="U47">
        <v>0.122706286271713</v>
      </c>
      <c r="V47">
        <v>0.37082104032014501</v>
      </c>
      <c r="W47">
        <v>1.1697475925293801</v>
      </c>
      <c r="X47">
        <v>0.70294623953507096</v>
      </c>
      <c r="Y47">
        <v>3.8497061451644699E-3</v>
      </c>
      <c r="Z47">
        <v>0</v>
      </c>
      <c r="AA47">
        <v>0.70679594568023596</v>
      </c>
      <c r="AB47">
        <v>0.49082514508685299</v>
      </c>
      <c r="AC47">
        <v>1.0594886866289801</v>
      </c>
      <c r="AD47">
        <v>2.25710977739607</v>
      </c>
      <c r="AE47">
        <v>20642.0888670319</v>
      </c>
      <c r="AF47">
        <v>2614.8179870647</v>
      </c>
      <c r="AG47">
        <v>0</v>
      </c>
      <c r="AH47">
        <v>23256.9068540966</v>
      </c>
      <c r="AI47">
        <v>6.3894188083991804E-2</v>
      </c>
      <c r="AJ47">
        <v>4.18747623793903E-2</v>
      </c>
      <c r="AK47">
        <v>0</v>
      </c>
      <c r="AL47">
        <v>0.105768950463382</v>
      </c>
      <c r="AM47">
        <v>3.2521695072675501</v>
      </c>
      <c r="AN47">
        <v>0.41196563871829001</v>
      </c>
      <c r="AO47">
        <v>0</v>
      </c>
      <c r="AP47">
        <v>3.6641351459858398</v>
      </c>
      <c r="AQ47">
        <v>1.37562434826961</v>
      </c>
      <c r="AR47">
        <v>0.90155215105591402</v>
      </c>
      <c r="AS47">
        <v>0</v>
      </c>
      <c r="AT47">
        <v>2.2771764993255301</v>
      </c>
      <c r="AU47">
        <v>0</v>
      </c>
      <c r="AV47">
        <v>0</v>
      </c>
      <c r="AW47">
        <v>0</v>
      </c>
      <c r="AX47">
        <v>2.2771764993255301</v>
      </c>
      <c r="AY47">
        <v>1.5660436062068099</v>
      </c>
      <c r="AZ47">
        <v>1.02634849666559</v>
      </c>
      <c r="BA47">
        <v>0</v>
      </c>
      <c r="BB47">
        <v>2.59239210287241</v>
      </c>
      <c r="BC47">
        <v>0</v>
      </c>
      <c r="BD47">
        <v>0</v>
      </c>
      <c r="BE47">
        <v>0</v>
      </c>
      <c r="BF47">
        <v>2.59239210287241</v>
      </c>
      <c r="BG47">
        <v>3.6036762876745301</v>
      </c>
      <c r="BH47">
        <v>11.541700595526001</v>
      </c>
      <c r="BI47">
        <v>0</v>
      </c>
      <c r="BJ47">
        <v>15.1453768832005</v>
      </c>
      <c r="BK47">
        <v>0.19546823782600001</v>
      </c>
      <c r="BL47">
        <v>2.4760762704765699E-2</v>
      </c>
      <c r="BM47">
        <v>0</v>
      </c>
      <c r="BN47">
        <v>0.220229000530765</v>
      </c>
      <c r="BO47">
        <v>2.9994861380974398</v>
      </c>
      <c r="BP47">
        <v>2077.53027650697</v>
      </c>
    </row>
    <row r="48" spans="1:68" x14ac:dyDescent="0.25">
      <c r="A48" t="s">
        <v>37</v>
      </c>
      <c r="B48">
        <v>2028</v>
      </c>
      <c r="C48" t="s">
        <v>164</v>
      </c>
      <c r="D48">
        <v>2012</v>
      </c>
      <c r="E48" t="s">
        <v>39</v>
      </c>
      <c r="F48" t="s">
        <v>10</v>
      </c>
      <c r="G48">
        <v>1331.3208050748799</v>
      </c>
      <c r="H48">
        <v>22275280.762231398</v>
      </c>
      <c r="I48">
        <v>22275280.762231398</v>
      </c>
      <c r="J48">
        <v>0</v>
      </c>
      <c r="K48">
        <v>6035356.4848942803</v>
      </c>
      <c r="L48">
        <v>0</v>
      </c>
      <c r="M48">
        <v>88.865740767369104</v>
      </c>
      <c r="N48">
        <v>18.700928212910799</v>
      </c>
      <c r="O48">
        <v>17.1903938186563</v>
      </c>
      <c r="P48">
        <v>124.757062798936</v>
      </c>
      <c r="Q48">
        <v>0.68034877164569396</v>
      </c>
      <c r="R48">
        <v>6.4437109833970201E-3</v>
      </c>
      <c r="S48">
        <v>0</v>
      </c>
      <c r="T48">
        <v>0.68679248262909098</v>
      </c>
      <c r="U48">
        <v>0.220988645444017</v>
      </c>
      <c r="V48">
        <v>0.66754248091341095</v>
      </c>
      <c r="W48">
        <v>1.5753236089865199</v>
      </c>
      <c r="X48">
        <v>0.71111112409655097</v>
      </c>
      <c r="Y48">
        <v>6.7350670005222298E-3</v>
      </c>
      <c r="Z48">
        <v>0</v>
      </c>
      <c r="AA48">
        <v>0.71784619109707304</v>
      </c>
      <c r="AB48">
        <v>0.88395458177607</v>
      </c>
      <c r="AC48">
        <v>1.9072642311811701</v>
      </c>
      <c r="AD48">
        <v>3.5090650040543099</v>
      </c>
      <c r="AE48">
        <v>37310.9031997774</v>
      </c>
      <c r="AF48">
        <v>4454.1037116749903</v>
      </c>
      <c r="AG48">
        <v>0</v>
      </c>
      <c r="AH48">
        <v>41765.006911452401</v>
      </c>
      <c r="AI48">
        <v>2.3908843718116E-2</v>
      </c>
      <c r="AJ48">
        <v>7.3505485465489295E-2</v>
      </c>
      <c r="AK48">
        <v>0</v>
      </c>
      <c r="AL48">
        <v>9.7414329183605403E-2</v>
      </c>
      <c r="AM48">
        <v>5.8783479935853302</v>
      </c>
      <c r="AN48">
        <v>0.70174585365979103</v>
      </c>
      <c r="AO48">
        <v>0</v>
      </c>
      <c r="AP48">
        <v>6.58009384724512</v>
      </c>
      <c r="AQ48">
        <v>0.51475084892508105</v>
      </c>
      <c r="AR48">
        <v>1.58255294526607</v>
      </c>
      <c r="AS48">
        <v>0</v>
      </c>
      <c r="AT48">
        <v>2.0973037941911499</v>
      </c>
      <c r="AU48">
        <v>0</v>
      </c>
      <c r="AV48">
        <v>0</v>
      </c>
      <c r="AW48">
        <v>0</v>
      </c>
      <c r="AX48">
        <v>2.0973037941911499</v>
      </c>
      <c r="AY48">
        <v>0.58600465800322898</v>
      </c>
      <c r="AZ48">
        <v>1.8016160622158</v>
      </c>
      <c r="BA48">
        <v>0</v>
      </c>
      <c r="BB48">
        <v>2.3876207202190298</v>
      </c>
      <c r="BC48">
        <v>0</v>
      </c>
      <c r="BD48">
        <v>0</v>
      </c>
      <c r="BE48">
        <v>0</v>
      </c>
      <c r="BF48">
        <v>2.3876207202190298</v>
      </c>
      <c r="BG48">
        <v>4.3291144928736101</v>
      </c>
      <c r="BH48">
        <v>23.3835169714364</v>
      </c>
      <c r="BI48">
        <v>0</v>
      </c>
      <c r="BJ48">
        <v>27.7126314643101</v>
      </c>
      <c r="BK48">
        <v>0.35331194178729403</v>
      </c>
      <c r="BL48">
        <v>4.2177698643952197E-2</v>
      </c>
      <c r="BM48">
        <v>0</v>
      </c>
      <c r="BN48">
        <v>0.39548964043124701</v>
      </c>
      <c r="BO48">
        <v>5.4019431182073401</v>
      </c>
      <c r="BP48">
        <v>3730.8515230081598</v>
      </c>
    </row>
    <row r="49" spans="1:68" x14ac:dyDescent="0.25">
      <c r="A49" t="s">
        <v>37</v>
      </c>
      <c r="B49">
        <v>2028</v>
      </c>
      <c r="C49" t="s">
        <v>164</v>
      </c>
      <c r="D49">
        <v>2013</v>
      </c>
      <c r="E49" t="s">
        <v>39</v>
      </c>
      <c r="F49" t="s">
        <v>10</v>
      </c>
      <c r="G49">
        <v>1397.3792698177001</v>
      </c>
      <c r="H49">
        <v>24074198.238683902</v>
      </c>
      <c r="I49">
        <v>24074198.238683902</v>
      </c>
      <c r="J49">
        <v>0</v>
      </c>
      <c r="K49">
        <v>6334823.2866208004</v>
      </c>
      <c r="L49">
        <v>0</v>
      </c>
      <c r="M49">
        <v>89.9794025045626</v>
      </c>
      <c r="N49">
        <v>19.628844761876</v>
      </c>
      <c r="O49">
        <v>25.912477183735501</v>
      </c>
      <c r="P49">
        <v>135.52072445017399</v>
      </c>
      <c r="Q49">
        <v>0.71131266914019098</v>
      </c>
      <c r="R49">
        <v>6.7634398219963204E-3</v>
      </c>
      <c r="S49">
        <v>0</v>
      </c>
      <c r="T49">
        <v>0.71807610896218699</v>
      </c>
      <c r="U49">
        <v>0.238835349179435</v>
      </c>
      <c r="V49">
        <v>0.72166681423747103</v>
      </c>
      <c r="W49">
        <v>1.6785782723790901</v>
      </c>
      <c r="X49">
        <v>0.74347507163548898</v>
      </c>
      <c r="Y49">
        <v>7.0692525584272704E-3</v>
      </c>
      <c r="Z49">
        <v>0</v>
      </c>
      <c r="AA49">
        <v>0.75054432419391603</v>
      </c>
      <c r="AB49">
        <v>0.95534139671774299</v>
      </c>
      <c r="AC49">
        <v>2.0619051835356301</v>
      </c>
      <c r="AD49">
        <v>3.7677909044472901</v>
      </c>
      <c r="AE49">
        <v>37849.1644946788</v>
      </c>
      <c r="AF49">
        <v>4675.1107385891401</v>
      </c>
      <c r="AG49">
        <v>0</v>
      </c>
      <c r="AH49">
        <v>42524.275233267901</v>
      </c>
      <c r="AI49">
        <v>2.5597603040922099E-2</v>
      </c>
      <c r="AJ49">
        <v>7.7152735250452201E-2</v>
      </c>
      <c r="AK49">
        <v>0</v>
      </c>
      <c r="AL49">
        <v>0.102750338291374</v>
      </c>
      <c r="AM49">
        <v>5.9631512797981099</v>
      </c>
      <c r="AN49">
        <v>0.73656560075282895</v>
      </c>
      <c r="AO49">
        <v>0</v>
      </c>
      <c r="AP49">
        <v>6.6997168805509402</v>
      </c>
      <c r="AQ49">
        <v>0.55110937405048899</v>
      </c>
      <c r="AR49">
        <v>1.66107723298095</v>
      </c>
      <c r="AS49">
        <v>0</v>
      </c>
      <c r="AT49">
        <v>2.2121866070314402</v>
      </c>
      <c r="AU49">
        <v>0</v>
      </c>
      <c r="AV49">
        <v>0</v>
      </c>
      <c r="AW49">
        <v>0</v>
      </c>
      <c r="AX49">
        <v>2.2121866070314402</v>
      </c>
      <c r="AY49">
        <v>0.62739607120071805</v>
      </c>
      <c r="AZ49">
        <v>1.89100998640922</v>
      </c>
      <c r="BA49">
        <v>0</v>
      </c>
      <c r="BB49">
        <v>2.5184060576099401</v>
      </c>
      <c r="BC49">
        <v>0</v>
      </c>
      <c r="BD49">
        <v>0</v>
      </c>
      <c r="BE49">
        <v>0</v>
      </c>
      <c r="BF49">
        <v>2.5184060576099401</v>
      </c>
      <c r="BG49">
        <v>4.6433387109954198</v>
      </c>
      <c r="BH49">
        <v>24.5437776881117</v>
      </c>
      <c r="BI49">
        <v>0</v>
      </c>
      <c r="BJ49">
        <v>29.187116399107101</v>
      </c>
      <c r="BK49">
        <v>0.35840895437560599</v>
      </c>
      <c r="BL49">
        <v>4.4270503029029198E-2</v>
      </c>
      <c r="BM49">
        <v>0</v>
      </c>
      <c r="BN49">
        <v>0.40267945740463501</v>
      </c>
      <c r="BO49">
        <v>5.8381957511538101</v>
      </c>
      <c r="BP49">
        <v>3798.6766614266298</v>
      </c>
    </row>
    <row r="50" spans="1:68" x14ac:dyDescent="0.25">
      <c r="A50" t="s">
        <v>37</v>
      </c>
      <c r="B50">
        <v>2028</v>
      </c>
      <c r="C50" t="s">
        <v>164</v>
      </c>
      <c r="D50">
        <v>2014</v>
      </c>
      <c r="E50" t="s">
        <v>39</v>
      </c>
      <c r="F50" t="s">
        <v>10</v>
      </c>
      <c r="G50">
        <v>1610.3682692288401</v>
      </c>
      <c r="H50">
        <v>28587925.4031129</v>
      </c>
      <c r="I50">
        <v>28587925.4031129</v>
      </c>
      <c r="J50">
        <v>0</v>
      </c>
      <c r="K50">
        <v>7300379.0969912596</v>
      </c>
      <c r="L50">
        <v>0</v>
      </c>
      <c r="M50">
        <v>42.426900560673197</v>
      </c>
      <c r="N50">
        <v>22.6206796171146</v>
      </c>
      <c r="O50">
        <v>29.8620653212121</v>
      </c>
      <c r="P50">
        <v>94.909645498999893</v>
      </c>
      <c r="Q50">
        <v>0.99834447845138297</v>
      </c>
      <c r="R50">
        <v>7.7943255030557901E-3</v>
      </c>
      <c r="S50">
        <v>0</v>
      </c>
      <c r="T50">
        <v>1.0061388039544299</v>
      </c>
      <c r="U50">
        <v>0.28361514174942498</v>
      </c>
      <c r="V50">
        <v>0.85732274562547095</v>
      </c>
      <c r="W50">
        <v>2.14707669132933</v>
      </c>
      <c r="X50">
        <v>1.04348518567894</v>
      </c>
      <c r="Y50">
        <v>8.1467503154967896E-3</v>
      </c>
      <c r="Z50">
        <v>0</v>
      </c>
      <c r="AA50">
        <v>1.0516319359944399</v>
      </c>
      <c r="AB50">
        <v>1.1344605669976999</v>
      </c>
      <c r="AC50">
        <v>2.4494935589299098</v>
      </c>
      <c r="AD50">
        <v>4.6355860619220604</v>
      </c>
      <c r="AE50">
        <v>50584.215021998803</v>
      </c>
      <c r="AF50">
        <v>4689.2540285161604</v>
      </c>
      <c r="AG50">
        <v>0</v>
      </c>
      <c r="AH50">
        <v>55273.469050514999</v>
      </c>
      <c r="AI50">
        <v>1.47901689186786E-2</v>
      </c>
      <c r="AJ50">
        <v>8.8912380063967802E-2</v>
      </c>
      <c r="AK50">
        <v>0</v>
      </c>
      <c r="AL50">
        <v>0.103702548982646</v>
      </c>
      <c r="AM50">
        <v>7.9695636765884901</v>
      </c>
      <c r="AN50">
        <v>0.73879388184053096</v>
      </c>
      <c r="AO50">
        <v>0</v>
      </c>
      <c r="AP50">
        <v>8.7083575584290198</v>
      </c>
      <c r="AQ50">
        <v>0.31842828103253301</v>
      </c>
      <c r="AR50">
        <v>1.9142591610650701</v>
      </c>
      <c r="AS50">
        <v>0</v>
      </c>
      <c r="AT50">
        <v>2.2326874420976099</v>
      </c>
      <c r="AU50">
        <v>0</v>
      </c>
      <c r="AV50">
        <v>0</v>
      </c>
      <c r="AW50">
        <v>0</v>
      </c>
      <c r="AX50">
        <v>2.2326874420976099</v>
      </c>
      <c r="AY50">
        <v>0.36250635878443099</v>
      </c>
      <c r="AZ50">
        <v>2.1792383389983501</v>
      </c>
      <c r="BA50">
        <v>0</v>
      </c>
      <c r="BB50">
        <v>2.54174469778278</v>
      </c>
      <c r="BC50">
        <v>0</v>
      </c>
      <c r="BD50">
        <v>0</v>
      </c>
      <c r="BE50">
        <v>0</v>
      </c>
      <c r="BF50">
        <v>2.54174469778278</v>
      </c>
      <c r="BG50">
        <v>2.4196898237218898</v>
      </c>
      <c r="BH50">
        <v>28.2847482066182</v>
      </c>
      <c r="BI50">
        <v>0</v>
      </c>
      <c r="BJ50">
        <v>30.7044380303401</v>
      </c>
      <c r="BK50">
        <v>0.479002267447522</v>
      </c>
      <c r="BL50">
        <v>4.4404431527104299E-2</v>
      </c>
      <c r="BM50">
        <v>0</v>
      </c>
      <c r="BN50">
        <v>0.52340669897462699</v>
      </c>
      <c r="BO50">
        <v>6.9328125891464598</v>
      </c>
      <c r="BP50">
        <v>4937.5570947771403</v>
      </c>
    </row>
    <row r="51" spans="1:68" x14ac:dyDescent="0.25">
      <c r="A51" t="s">
        <v>37</v>
      </c>
      <c r="B51">
        <v>2028</v>
      </c>
      <c r="C51" t="s">
        <v>164</v>
      </c>
      <c r="D51">
        <v>2015</v>
      </c>
      <c r="E51" t="s">
        <v>39</v>
      </c>
      <c r="F51" t="s">
        <v>10</v>
      </c>
      <c r="G51">
        <v>1772.5482841509299</v>
      </c>
      <c r="H51">
        <v>32471076.905044101</v>
      </c>
      <c r="I51">
        <v>32471076.905044101</v>
      </c>
      <c r="J51">
        <v>0</v>
      </c>
      <c r="K51">
        <v>8035599.4894384602</v>
      </c>
      <c r="L51">
        <v>0</v>
      </c>
      <c r="M51">
        <v>47.837507131975499</v>
      </c>
      <c r="N51">
        <v>24.898805824611301</v>
      </c>
      <c r="O51">
        <v>32.869470702912601</v>
      </c>
      <c r="P51">
        <v>105.605783659499</v>
      </c>
      <c r="Q51">
        <v>1.1207101828922399</v>
      </c>
      <c r="R51">
        <v>8.5792911848488994E-3</v>
      </c>
      <c r="S51">
        <v>0</v>
      </c>
      <c r="T51">
        <v>1.12928947407708</v>
      </c>
      <c r="U51">
        <v>0.322139118152932</v>
      </c>
      <c r="V51">
        <v>0.97291434595680604</v>
      </c>
      <c r="W51">
        <v>2.42434293818682</v>
      </c>
      <c r="X51">
        <v>1.1713837242848399</v>
      </c>
      <c r="Y51">
        <v>8.9672086621869693E-3</v>
      </c>
      <c r="Z51">
        <v>0</v>
      </c>
      <c r="AA51">
        <v>1.1803509329470301</v>
      </c>
      <c r="AB51">
        <v>1.28855647261173</v>
      </c>
      <c r="AC51">
        <v>2.7797552741623002</v>
      </c>
      <c r="AD51">
        <v>5.2486626797210603</v>
      </c>
      <c r="AE51">
        <v>57449.339328430302</v>
      </c>
      <c r="AF51">
        <v>5161.5082965926103</v>
      </c>
      <c r="AG51">
        <v>0</v>
      </c>
      <c r="AH51">
        <v>62610.8476250229</v>
      </c>
      <c r="AI51">
        <v>1.6663293385697199E-2</v>
      </c>
      <c r="AJ51">
        <v>9.7866736282398406E-2</v>
      </c>
      <c r="AK51">
        <v>0</v>
      </c>
      <c r="AL51">
        <v>0.114530029668095</v>
      </c>
      <c r="AM51">
        <v>9.0511668068141393</v>
      </c>
      <c r="AN51">
        <v>0.81319773409640195</v>
      </c>
      <c r="AO51">
        <v>0</v>
      </c>
      <c r="AP51">
        <v>9.8643645409105396</v>
      </c>
      <c r="AQ51">
        <v>0.35875613715589499</v>
      </c>
      <c r="AR51">
        <v>2.1070439949682802</v>
      </c>
      <c r="AS51">
        <v>0</v>
      </c>
      <c r="AT51">
        <v>2.46580013212417</v>
      </c>
      <c r="AU51">
        <v>0</v>
      </c>
      <c r="AV51">
        <v>0</v>
      </c>
      <c r="AW51">
        <v>0</v>
      </c>
      <c r="AX51">
        <v>2.46580013212417</v>
      </c>
      <c r="AY51">
        <v>0.40841655317249997</v>
      </c>
      <c r="AZ51">
        <v>2.3987091973671602</v>
      </c>
      <c r="BA51">
        <v>0</v>
      </c>
      <c r="BB51">
        <v>2.8071257505396598</v>
      </c>
      <c r="BC51">
        <v>0</v>
      </c>
      <c r="BD51">
        <v>0</v>
      </c>
      <c r="BE51">
        <v>0</v>
      </c>
      <c r="BF51">
        <v>2.8071257505396598</v>
      </c>
      <c r="BG51">
        <v>2.71967028437111</v>
      </c>
      <c r="BH51">
        <v>31.133302151619599</v>
      </c>
      <c r="BI51">
        <v>0</v>
      </c>
      <c r="BJ51">
        <v>33.852972435990701</v>
      </c>
      <c r="BK51">
        <v>0.54401088935970798</v>
      </c>
      <c r="BL51">
        <v>4.8876397042868801E-2</v>
      </c>
      <c r="BM51">
        <v>0</v>
      </c>
      <c r="BN51">
        <v>0.59288728640257604</v>
      </c>
      <c r="BO51">
        <v>7.8745095202298501</v>
      </c>
      <c r="BP51">
        <v>5593.0022162787</v>
      </c>
    </row>
    <row r="52" spans="1:68" x14ac:dyDescent="0.25">
      <c r="A52" t="s">
        <v>37</v>
      </c>
      <c r="B52">
        <v>2028</v>
      </c>
      <c r="C52" t="s">
        <v>164</v>
      </c>
      <c r="D52">
        <v>2016</v>
      </c>
      <c r="E52" t="s">
        <v>39</v>
      </c>
      <c r="F52" t="s">
        <v>10</v>
      </c>
      <c r="G52">
        <v>2263.1457134922398</v>
      </c>
      <c r="H52">
        <v>42781128.242920198</v>
      </c>
      <c r="I52">
        <v>42781128.242920198</v>
      </c>
      <c r="J52">
        <v>0</v>
      </c>
      <c r="K52">
        <v>10259654.2517171</v>
      </c>
      <c r="L52">
        <v>0</v>
      </c>
      <c r="M52">
        <v>62.4896491290719</v>
      </c>
      <c r="N52">
        <v>31.7901781163817</v>
      </c>
      <c r="O52">
        <v>49.525643884121799</v>
      </c>
      <c r="P52">
        <v>143.80547112957501</v>
      </c>
      <c r="Q52">
        <v>1.44908980666473</v>
      </c>
      <c r="R52">
        <v>1.09538263320669E-2</v>
      </c>
      <c r="S52">
        <v>0</v>
      </c>
      <c r="T52">
        <v>1.4600436329968001</v>
      </c>
      <c r="U52">
        <v>0.42442309400650002</v>
      </c>
      <c r="V52">
        <v>1.28269590807142</v>
      </c>
      <c r="W52">
        <v>3.1671626350747299</v>
      </c>
      <c r="X52">
        <v>1.51461121748133</v>
      </c>
      <c r="Y52">
        <v>1.14491097519185E-2</v>
      </c>
      <c r="Z52">
        <v>0</v>
      </c>
      <c r="AA52">
        <v>1.52606032723325</v>
      </c>
      <c r="AB52">
        <v>1.6976923760260001</v>
      </c>
      <c r="AC52">
        <v>3.6648454516326399</v>
      </c>
      <c r="AD52">
        <v>6.8885981548919002</v>
      </c>
      <c r="AE52">
        <v>75695.864007981203</v>
      </c>
      <c r="AF52">
        <v>6590.08585607228</v>
      </c>
      <c r="AG52">
        <v>0</v>
      </c>
      <c r="AH52">
        <v>82285.949864053502</v>
      </c>
      <c r="AI52">
        <v>2.1753981393714102E-2</v>
      </c>
      <c r="AJ52">
        <v>0.124953823087014</v>
      </c>
      <c r="AK52">
        <v>0</v>
      </c>
      <c r="AL52">
        <v>0.14670780448072801</v>
      </c>
      <c r="AM52">
        <v>11.9259142007765</v>
      </c>
      <c r="AN52">
        <v>1.0382707103651301</v>
      </c>
      <c r="AO52">
        <v>0</v>
      </c>
      <c r="AP52">
        <v>12.964184911141601</v>
      </c>
      <c r="AQ52">
        <v>0.46835725399091399</v>
      </c>
      <c r="AR52">
        <v>2.6902215460021899</v>
      </c>
      <c r="AS52">
        <v>0</v>
      </c>
      <c r="AT52">
        <v>3.1585787999931001</v>
      </c>
      <c r="AU52">
        <v>0</v>
      </c>
      <c r="AV52">
        <v>0</v>
      </c>
      <c r="AW52">
        <v>0</v>
      </c>
      <c r="AX52">
        <v>3.1585787999931001</v>
      </c>
      <c r="AY52">
        <v>0.53318908171091395</v>
      </c>
      <c r="AZ52">
        <v>3.06261244699254</v>
      </c>
      <c r="BA52">
        <v>0</v>
      </c>
      <c r="BB52">
        <v>3.5958015287034502</v>
      </c>
      <c r="BC52">
        <v>0</v>
      </c>
      <c r="BD52">
        <v>0</v>
      </c>
      <c r="BE52">
        <v>0</v>
      </c>
      <c r="BF52">
        <v>3.5958015287034502</v>
      </c>
      <c r="BG52">
        <v>3.55691990082267</v>
      </c>
      <c r="BH52">
        <v>39.750228493802297</v>
      </c>
      <c r="BI52">
        <v>0</v>
      </c>
      <c r="BJ52">
        <v>43.307148394625003</v>
      </c>
      <c r="BK52">
        <v>0.71679456685161003</v>
      </c>
      <c r="BL52">
        <v>6.2404172257287199E-2</v>
      </c>
      <c r="BM52">
        <v>0</v>
      </c>
      <c r="BN52">
        <v>0.77919873910889703</v>
      </c>
      <c r="BO52">
        <v>10.3747837689583</v>
      </c>
      <c r="BP52">
        <v>7350.5713053837799</v>
      </c>
    </row>
    <row r="53" spans="1:68" x14ac:dyDescent="0.25">
      <c r="A53" t="s">
        <v>37</v>
      </c>
      <c r="B53">
        <v>2028</v>
      </c>
      <c r="C53" t="s">
        <v>164</v>
      </c>
      <c r="D53">
        <v>2017</v>
      </c>
      <c r="E53" t="s">
        <v>39</v>
      </c>
      <c r="F53" t="s">
        <v>10</v>
      </c>
      <c r="G53">
        <v>1501.5962701072999</v>
      </c>
      <c r="H53">
        <v>29316702.0596053</v>
      </c>
      <c r="I53">
        <v>29316702.0596053</v>
      </c>
      <c r="J53">
        <v>0</v>
      </c>
      <c r="K53">
        <v>6807276.4670536704</v>
      </c>
      <c r="L53">
        <v>0</v>
      </c>
      <c r="M53">
        <v>42.3460934569014</v>
      </c>
      <c r="N53">
        <v>21.0927703863772</v>
      </c>
      <c r="O53">
        <v>32.860244785698796</v>
      </c>
      <c r="P53">
        <v>96.299108628977606</v>
      </c>
      <c r="Q53">
        <v>0.79776283221230704</v>
      </c>
      <c r="R53">
        <v>7.2678593629987003E-3</v>
      </c>
      <c r="S53">
        <v>0</v>
      </c>
      <c r="T53">
        <v>0.80503069157530605</v>
      </c>
      <c r="U53">
        <v>0.29084519051372898</v>
      </c>
      <c r="V53">
        <v>0.87891290977282399</v>
      </c>
      <c r="W53">
        <v>1.9747887918618601</v>
      </c>
      <c r="X53">
        <v>0.83383412746480901</v>
      </c>
      <c r="Y53">
        <v>7.5964797127452202E-3</v>
      </c>
      <c r="Z53">
        <v>0</v>
      </c>
      <c r="AA53">
        <v>0.84143060717755402</v>
      </c>
      <c r="AB53">
        <v>1.1633807620549099</v>
      </c>
      <c r="AC53">
        <v>2.5111797422080699</v>
      </c>
      <c r="AD53">
        <v>4.51599111144054</v>
      </c>
      <c r="AE53">
        <v>54088.011096077404</v>
      </c>
      <c r="AF53">
        <v>4246.727046944</v>
      </c>
      <c r="AG53">
        <v>0</v>
      </c>
      <c r="AH53">
        <v>58334.738143021401</v>
      </c>
      <c r="AI53">
        <v>1.54782127885506E-2</v>
      </c>
      <c r="AJ53">
        <v>8.2906811331020402E-2</v>
      </c>
      <c r="AK53">
        <v>0</v>
      </c>
      <c r="AL53">
        <v>9.8385024119571104E-2</v>
      </c>
      <c r="AM53">
        <v>8.5215881749425009</v>
      </c>
      <c r="AN53">
        <v>0.66907357567952697</v>
      </c>
      <c r="AO53">
        <v>0</v>
      </c>
      <c r="AP53">
        <v>9.1906617506220307</v>
      </c>
      <c r="AQ53">
        <v>0.33324167687425399</v>
      </c>
      <c r="AR53">
        <v>1.7849609131025299</v>
      </c>
      <c r="AS53">
        <v>0</v>
      </c>
      <c r="AT53">
        <v>2.1182025899767898</v>
      </c>
      <c r="AU53">
        <v>0</v>
      </c>
      <c r="AV53">
        <v>0</v>
      </c>
      <c r="AW53">
        <v>0</v>
      </c>
      <c r="AX53">
        <v>2.1182025899767898</v>
      </c>
      <c r="AY53">
        <v>0.37937028233544801</v>
      </c>
      <c r="AZ53">
        <v>2.0320421260422599</v>
      </c>
      <c r="BA53">
        <v>0</v>
      </c>
      <c r="BB53">
        <v>2.4114124083777102</v>
      </c>
      <c r="BC53">
        <v>0</v>
      </c>
      <c r="BD53">
        <v>0</v>
      </c>
      <c r="BE53">
        <v>0</v>
      </c>
      <c r="BF53">
        <v>2.4114124083777102</v>
      </c>
      <c r="BG53">
        <v>1.36651733635285</v>
      </c>
      <c r="BH53">
        <v>26.3742606083024</v>
      </c>
      <c r="BI53">
        <v>0</v>
      </c>
      <c r="BJ53">
        <v>27.7407779446552</v>
      </c>
      <c r="BK53">
        <v>0.51218112103707603</v>
      </c>
      <c r="BL53">
        <v>4.0213965637941398E-2</v>
      </c>
      <c r="BM53">
        <v>0</v>
      </c>
      <c r="BN53">
        <v>0.55239508667501702</v>
      </c>
      <c r="BO53">
        <v>7.1095470638438396</v>
      </c>
      <c r="BP53">
        <v>5211.0190501487796</v>
      </c>
    </row>
    <row r="54" spans="1:68" x14ac:dyDescent="0.25">
      <c r="A54" t="s">
        <v>106</v>
      </c>
      <c r="M54" s="75">
        <f>SUM(M46:M53)*453.6*2000/SUM($H$46:$H$53)</f>
        <v>2.0443990188846111</v>
      </c>
      <c r="O54">
        <f t="shared" ref="O54:AM54" si="6">SUM(O46:O53)*453.6*2000/SUM($H$46:$H$53)</f>
        <v>0.92774759951034069</v>
      </c>
      <c r="P54">
        <f t="shared" si="6"/>
        <v>3.685458661249537</v>
      </c>
      <c r="Q54" s="74">
        <f t="shared" si="6"/>
        <v>3.0402121425530906E-2</v>
      </c>
      <c r="R54" s="74"/>
      <c r="S54" s="74">
        <f t="shared" si="6"/>
        <v>0</v>
      </c>
      <c r="T54" s="74">
        <f t="shared" si="6"/>
        <v>3.06455790467021E-2</v>
      </c>
      <c r="U54" s="74">
        <f t="shared" si="6"/>
        <v>9.0001513914354427E-3</v>
      </c>
      <c r="V54" s="74">
        <f t="shared" si="6"/>
        <v>2.7195335315872156E-2</v>
      </c>
      <c r="W54" s="74">
        <f t="shared" si="6"/>
        <v>6.6841065754009735E-2</v>
      </c>
      <c r="X54" s="74">
        <f t="shared" si="6"/>
        <v>3.1776770448977615E-2</v>
      </c>
      <c r="Y54" s="74"/>
      <c r="Z54" s="74">
        <f t="shared" si="6"/>
        <v>0</v>
      </c>
      <c r="AA54" s="74">
        <f t="shared" si="6"/>
        <v>3.2031236143451082E-2</v>
      </c>
      <c r="AB54" s="74">
        <f t="shared" si="6"/>
        <v>3.6000605565741771E-2</v>
      </c>
      <c r="AC54" s="74">
        <f t="shared" si="6"/>
        <v>7.7700958045348975E-2</v>
      </c>
      <c r="AD54" s="74">
        <f t="shared" si="6"/>
        <v>0.14573279975454198</v>
      </c>
      <c r="AE54" s="73">
        <f t="shared" si="6"/>
        <v>1577.380464394935</v>
      </c>
      <c r="AF54" s="74"/>
      <c r="AG54" s="74">
        <f t="shared" si="6"/>
        <v>0</v>
      </c>
      <c r="AH54" s="74">
        <f t="shared" si="6"/>
        <v>1730.7427590680504</v>
      </c>
      <c r="AI54" s="74">
        <f t="shared" si="6"/>
        <v>8.6095269461392433E-4</v>
      </c>
      <c r="AJ54" s="74"/>
      <c r="AK54" s="74">
        <f t="shared" si="6"/>
        <v>0</v>
      </c>
      <c r="AL54" s="74">
        <f t="shared" si="6"/>
        <v>3.6374832836298396E-3</v>
      </c>
      <c r="AM54" s="74">
        <f t="shared" si="6"/>
        <v>0.24851693453649679</v>
      </c>
      <c r="AN54" s="74"/>
    </row>
    <row r="55" spans="1:68" x14ac:dyDescent="0.25">
      <c r="A55" t="s">
        <v>283</v>
      </c>
      <c r="N55" s="75">
        <f>SUM(N46:N53)*453.6*2000/SUM($G$46:$G$53)/312</f>
        <v>41.234237083026287</v>
      </c>
      <c r="O55">
        <f t="shared" ref="O55:AN55" si="7">SUM(O46:O53)*453.6*2000/SUM($G$46:$G$53)/312</f>
        <v>53.630055534077577</v>
      </c>
      <c r="P55">
        <f t="shared" si="7"/>
        <v>213.04431590626481</v>
      </c>
      <c r="Q55" s="74"/>
      <c r="R55" s="74">
        <f t="shared" si="7"/>
        <v>1.4073489115466872E-2</v>
      </c>
      <c r="S55" s="74">
        <f t="shared" si="7"/>
        <v>0</v>
      </c>
      <c r="T55" s="74">
        <f t="shared" si="7"/>
        <v>1.7715207315179684</v>
      </c>
      <c r="U55" s="74">
        <f t="shared" si="7"/>
        <v>0.52026932669245718</v>
      </c>
      <c r="V55" s="74">
        <f t="shared" si="7"/>
        <v>1.5720734217236081</v>
      </c>
      <c r="W55" s="74">
        <f t="shared" si="7"/>
        <v>3.8638634799340354</v>
      </c>
      <c r="X55" s="74"/>
      <c r="Y55" s="74">
        <f t="shared" si="7"/>
        <v>1.4709829843085239E-2</v>
      </c>
      <c r="Z55" s="74">
        <f t="shared" si="7"/>
        <v>0</v>
      </c>
      <c r="AA55" s="74">
        <f t="shared" si="7"/>
        <v>1.8516210379903952</v>
      </c>
      <c r="AB55" s="74">
        <f t="shared" si="7"/>
        <v>2.0810773067698287</v>
      </c>
      <c r="AC55" s="74">
        <f t="shared" si="7"/>
        <v>4.491638347781735</v>
      </c>
      <c r="AD55" s="74">
        <f t="shared" si="7"/>
        <v>8.4243366925419672</v>
      </c>
      <c r="AE55" s="74"/>
      <c r="AF55" s="73">
        <f t="shared" si="7"/>
        <v>8865.37284978561</v>
      </c>
      <c r="AG55" s="74">
        <f t="shared" si="7"/>
        <v>0</v>
      </c>
      <c r="AH55" s="74">
        <f t="shared" si="7"/>
        <v>100048.58038222024</v>
      </c>
      <c r="AI55" s="74"/>
      <c r="AJ55" s="74">
        <f t="shared" si="7"/>
        <v>0.16050215571517554</v>
      </c>
      <c r="AK55" s="74">
        <f t="shared" si="7"/>
        <v>0</v>
      </c>
      <c r="AL55" s="74">
        <f t="shared" si="7"/>
        <v>0.21027101617757707</v>
      </c>
      <c r="AM55" s="74"/>
      <c r="AN55" s="74">
        <f t="shared" si="7"/>
        <v>1.3967431028105999</v>
      </c>
    </row>
    <row r="56" spans="1:68" x14ac:dyDescent="0.25">
      <c r="BP56" s="74">
        <f>SUM(H46:H53)/(SUM(BP46:BP53)*1000)</f>
        <v>5.8677973965938328</v>
      </c>
    </row>
    <row r="58" spans="1:68" x14ac:dyDescent="0.25">
      <c r="A58" t="s">
        <v>37</v>
      </c>
      <c r="B58">
        <v>2029</v>
      </c>
      <c r="C58" t="s">
        <v>164</v>
      </c>
      <c r="D58">
        <v>2010</v>
      </c>
      <c r="E58" t="s">
        <v>39</v>
      </c>
      <c r="F58" t="s">
        <v>10</v>
      </c>
      <c r="G58">
        <v>1.19490805037507</v>
      </c>
      <c r="H58">
        <v>748.03768519744301</v>
      </c>
      <c r="I58">
        <v>748.03768519744301</v>
      </c>
      <c r="J58">
        <v>0</v>
      </c>
      <c r="K58">
        <v>5416.9483592483602</v>
      </c>
      <c r="L58">
        <v>0</v>
      </c>
      <c r="M58">
        <v>5.8270564551630797E-3</v>
      </c>
      <c r="N58">
        <v>2.5111836936493801E-2</v>
      </c>
      <c r="O58">
        <v>2.2545093313595102E-3</v>
      </c>
      <c r="P58">
        <v>3.3193402723016401E-2</v>
      </c>
      <c r="Q58">
        <v>3.6836270574826302E-5</v>
      </c>
      <c r="R58">
        <v>5.7834611304811096E-6</v>
      </c>
      <c r="S58">
        <v>0</v>
      </c>
      <c r="T58">
        <v>4.2619731705307401E-5</v>
      </c>
      <c r="U58">
        <v>7.42113361251754E-6</v>
      </c>
      <c r="V58">
        <v>2.2462653289941501E-5</v>
      </c>
      <c r="W58">
        <v>7.2503518607766506E-5</v>
      </c>
      <c r="X58">
        <v>3.8501843271690198E-5</v>
      </c>
      <c r="Y58">
        <v>6.0449635790727896E-6</v>
      </c>
      <c r="Z58">
        <v>0</v>
      </c>
      <c r="AA58">
        <v>4.4546806850762997E-5</v>
      </c>
      <c r="AB58">
        <v>2.9684534450070099E-5</v>
      </c>
      <c r="AC58">
        <v>6.4179009399832905E-5</v>
      </c>
      <c r="AD58">
        <v>1.3841035070066599E-4</v>
      </c>
      <c r="AE58">
        <v>1.3263705227790901</v>
      </c>
      <c r="AF58">
        <v>4.4945838027390703</v>
      </c>
      <c r="AG58">
        <v>0</v>
      </c>
      <c r="AH58">
        <v>5.8209543255181702</v>
      </c>
      <c r="AI58">
        <v>7.1595260197172398E-6</v>
      </c>
      <c r="AJ58">
        <v>6.4961628619496697E-5</v>
      </c>
      <c r="AK58">
        <v>0</v>
      </c>
      <c r="AL58">
        <v>7.2121154639214001E-5</v>
      </c>
      <c r="AM58">
        <v>2.08970216013847E-4</v>
      </c>
      <c r="AN58">
        <v>7.0812350849201397E-4</v>
      </c>
      <c r="AO58">
        <v>0</v>
      </c>
      <c r="AP58">
        <v>9.17093724505862E-4</v>
      </c>
      <c r="AQ58">
        <v>1.5414263190646001E-4</v>
      </c>
      <c r="AR58">
        <v>1.39860605028358E-3</v>
      </c>
      <c r="AS58">
        <v>0</v>
      </c>
      <c r="AT58">
        <v>1.55274868219004E-3</v>
      </c>
      <c r="AU58">
        <v>0</v>
      </c>
      <c r="AV58">
        <v>0</v>
      </c>
      <c r="AW58">
        <v>0</v>
      </c>
      <c r="AX58">
        <v>1.55274868219004E-3</v>
      </c>
      <c r="AY58">
        <v>1.75479652889722E-4</v>
      </c>
      <c r="AZ58">
        <v>1.59220652455294E-3</v>
      </c>
      <c r="BA58">
        <v>0</v>
      </c>
      <c r="BB58">
        <v>1.76768617744266E-3</v>
      </c>
      <c r="BC58">
        <v>0</v>
      </c>
      <c r="BD58">
        <v>0</v>
      </c>
      <c r="BE58">
        <v>0</v>
      </c>
      <c r="BF58">
        <v>1.76768617744266E-3</v>
      </c>
      <c r="BG58">
        <v>3.6307649361897902E-4</v>
      </c>
      <c r="BH58">
        <v>7.8313263329116093E-3</v>
      </c>
      <c r="BI58">
        <v>0</v>
      </c>
      <c r="BJ58">
        <v>8.1944028265305904E-3</v>
      </c>
      <c r="BK58">
        <v>1.25599356955611E-5</v>
      </c>
      <c r="BL58">
        <v>4.2561020899674597E-5</v>
      </c>
      <c r="BM58">
        <v>0</v>
      </c>
      <c r="BN58">
        <v>5.5120956595235703E-5</v>
      </c>
      <c r="BO58">
        <v>3.1333666272593602E-5</v>
      </c>
      <c r="BP58">
        <v>0.51998354404115599</v>
      </c>
    </row>
    <row r="59" spans="1:68" x14ac:dyDescent="0.25">
      <c r="A59" t="s">
        <v>37</v>
      </c>
      <c r="B59">
        <v>2029</v>
      </c>
      <c r="C59" t="s">
        <v>164</v>
      </c>
      <c r="D59">
        <v>2011</v>
      </c>
      <c r="E59" t="s">
        <v>39</v>
      </c>
      <c r="F59" t="s">
        <v>10</v>
      </c>
      <c r="G59">
        <v>679.54944778008496</v>
      </c>
      <c r="H59">
        <v>10617058.2399207</v>
      </c>
      <c r="I59">
        <v>10617058.2399207</v>
      </c>
      <c r="J59">
        <v>0</v>
      </c>
      <c r="K59">
        <v>3080642.28458833</v>
      </c>
      <c r="L59">
        <v>0</v>
      </c>
      <c r="M59">
        <v>50.169273627216903</v>
      </c>
      <c r="N59">
        <v>10.812104410436501</v>
      </c>
      <c r="O59">
        <v>7.1429529419556497</v>
      </c>
      <c r="P59">
        <v>68.124330979609098</v>
      </c>
      <c r="Q59">
        <v>0.57736171025285699</v>
      </c>
      <c r="R59">
        <v>3.28907970470394E-3</v>
      </c>
      <c r="S59">
        <v>0</v>
      </c>
      <c r="T59">
        <v>0.58065078995756103</v>
      </c>
      <c r="U59">
        <v>0.105329730479468</v>
      </c>
      <c r="V59">
        <v>0.31829072538420999</v>
      </c>
      <c r="W59">
        <v>1.00427124582123</v>
      </c>
      <c r="X59">
        <v>0.60346744478584602</v>
      </c>
      <c r="Y59">
        <v>3.4377972938756198E-3</v>
      </c>
      <c r="Z59">
        <v>0</v>
      </c>
      <c r="AA59">
        <v>0.60690524207972196</v>
      </c>
      <c r="AB59">
        <v>0.42131892191787201</v>
      </c>
      <c r="AC59">
        <v>0.909402072526314</v>
      </c>
      <c r="AD59">
        <v>1.9376262365239001</v>
      </c>
      <c r="AE59">
        <v>17718.780943682301</v>
      </c>
      <c r="AF59">
        <v>2335.0390551755399</v>
      </c>
      <c r="AG59">
        <v>0</v>
      </c>
      <c r="AH59">
        <v>20053.819998857802</v>
      </c>
      <c r="AI59">
        <v>5.48458493267939E-2</v>
      </c>
      <c r="AJ59">
        <v>3.7394268383412602E-2</v>
      </c>
      <c r="AK59">
        <v>0</v>
      </c>
      <c r="AL59">
        <v>9.2240117710206598E-2</v>
      </c>
      <c r="AM59">
        <v>2.79160115345839</v>
      </c>
      <c r="AN59">
        <v>0.36788635406221998</v>
      </c>
      <c r="AO59">
        <v>0</v>
      </c>
      <c r="AP59">
        <v>3.1594875075206099</v>
      </c>
      <c r="AQ59">
        <v>1.1808160960788101</v>
      </c>
      <c r="AR59">
        <v>0.805088343971604</v>
      </c>
      <c r="AS59">
        <v>0</v>
      </c>
      <c r="AT59">
        <v>1.98590444005041</v>
      </c>
      <c r="AU59">
        <v>0</v>
      </c>
      <c r="AV59">
        <v>0</v>
      </c>
      <c r="AW59">
        <v>0</v>
      </c>
      <c r="AX59">
        <v>1.98590444005041</v>
      </c>
      <c r="AY59">
        <v>1.34426924014278</v>
      </c>
      <c r="AZ59">
        <v>0.91653179524941697</v>
      </c>
      <c r="BA59">
        <v>0</v>
      </c>
      <c r="BB59">
        <v>2.2608010353922001</v>
      </c>
      <c r="BC59">
        <v>0</v>
      </c>
      <c r="BD59">
        <v>0</v>
      </c>
      <c r="BE59">
        <v>0</v>
      </c>
      <c r="BF59">
        <v>2.2608010353922001</v>
      </c>
      <c r="BG59">
        <v>3.0930378608631299</v>
      </c>
      <c r="BH59">
        <v>10.3067677318334</v>
      </c>
      <c r="BI59">
        <v>0</v>
      </c>
      <c r="BJ59">
        <v>13.399805592696501</v>
      </c>
      <c r="BK59">
        <v>0.167786259898244</v>
      </c>
      <c r="BL59">
        <v>2.2111423524535899E-2</v>
      </c>
      <c r="BM59">
        <v>0</v>
      </c>
      <c r="BN59">
        <v>0.18989768342277999</v>
      </c>
      <c r="BO59">
        <v>2.5747260071347702</v>
      </c>
      <c r="BP59">
        <v>1791.3997965688</v>
      </c>
    </row>
    <row r="60" spans="1:68" x14ac:dyDescent="0.25">
      <c r="A60" t="s">
        <v>37</v>
      </c>
      <c r="B60">
        <v>2029</v>
      </c>
      <c r="C60" t="s">
        <v>164</v>
      </c>
      <c r="D60">
        <v>2012</v>
      </c>
      <c r="E60" t="s">
        <v>39</v>
      </c>
      <c r="F60" t="s">
        <v>10</v>
      </c>
      <c r="G60">
        <v>1170.7147550541799</v>
      </c>
      <c r="H60">
        <v>18808057.8695492</v>
      </c>
      <c r="I60">
        <v>18808057.8695492</v>
      </c>
      <c r="J60">
        <v>0</v>
      </c>
      <c r="K60">
        <v>5307271.4419724103</v>
      </c>
      <c r="L60">
        <v>0</v>
      </c>
      <c r="M60">
        <v>75.213719241317193</v>
      </c>
      <c r="N60">
        <v>16.444911330618201</v>
      </c>
      <c r="O60">
        <v>15.1166027091127</v>
      </c>
      <c r="P60">
        <v>106.775233281048</v>
      </c>
      <c r="Q60">
        <v>0.57618633994527702</v>
      </c>
      <c r="R60">
        <v>5.6663634315721797E-3</v>
      </c>
      <c r="S60">
        <v>0</v>
      </c>
      <c r="T60">
        <v>0.58185270337684902</v>
      </c>
      <c r="U60">
        <v>0.18659101433512101</v>
      </c>
      <c r="V60">
        <v>0.56360555488188502</v>
      </c>
      <c r="W60">
        <v>1.33204927259385</v>
      </c>
      <c r="X60">
        <v>0.60223892944858604</v>
      </c>
      <c r="Y60">
        <v>5.9225712418325503E-3</v>
      </c>
      <c r="Z60">
        <v>0</v>
      </c>
      <c r="AA60">
        <v>0.60816150069041897</v>
      </c>
      <c r="AB60">
        <v>0.74636405734048406</v>
      </c>
      <c r="AC60">
        <v>1.6103015853768099</v>
      </c>
      <c r="AD60">
        <v>2.9648271434077098</v>
      </c>
      <c r="AE60">
        <v>31503.211671539601</v>
      </c>
      <c r="AF60">
        <v>3916.7756681352098</v>
      </c>
      <c r="AG60">
        <v>0</v>
      </c>
      <c r="AH60">
        <v>35419.987339674801</v>
      </c>
      <c r="AI60">
        <v>2.02249997528741E-2</v>
      </c>
      <c r="AJ60">
        <v>6.4638031707938595E-2</v>
      </c>
      <c r="AK60">
        <v>0</v>
      </c>
      <c r="AL60">
        <v>8.4863031460812796E-2</v>
      </c>
      <c r="AM60">
        <v>4.9633438281921096</v>
      </c>
      <c r="AN60">
        <v>0.61708960157908499</v>
      </c>
      <c r="AO60">
        <v>0</v>
      </c>
      <c r="AP60">
        <v>5.5804334297712002</v>
      </c>
      <c r="AQ60">
        <v>0.43543869854371298</v>
      </c>
      <c r="AR60">
        <v>1.3916390975150601</v>
      </c>
      <c r="AS60">
        <v>0</v>
      </c>
      <c r="AT60">
        <v>1.8270777960587701</v>
      </c>
      <c r="AU60">
        <v>0</v>
      </c>
      <c r="AV60">
        <v>0</v>
      </c>
      <c r="AW60">
        <v>0</v>
      </c>
      <c r="AX60">
        <v>1.8270777960587701</v>
      </c>
      <c r="AY60">
        <v>0.495713812137138</v>
      </c>
      <c r="AZ60">
        <v>1.5842751791594001</v>
      </c>
      <c r="BA60">
        <v>0</v>
      </c>
      <c r="BB60">
        <v>2.0799889912965401</v>
      </c>
      <c r="BC60">
        <v>0</v>
      </c>
      <c r="BD60">
        <v>0</v>
      </c>
      <c r="BE60">
        <v>0</v>
      </c>
      <c r="BF60">
        <v>2.0799889912965401</v>
      </c>
      <c r="BG60">
        <v>3.6617353889945599</v>
      </c>
      <c r="BH60">
        <v>20.5626083804652</v>
      </c>
      <c r="BI60">
        <v>0</v>
      </c>
      <c r="BJ60">
        <v>24.224343769459701</v>
      </c>
      <c r="BK60">
        <v>0.29831657595129502</v>
      </c>
      <c r="BL60">
        <v>3.70895233879606E-2</v>
      </c>
      <c r="BM60">
        <v>0</v>
      </c>
      <c r="BN60">
        <v>0.33540609933925503</v>
      </c>
      <c r="BO60">
        <v>4.5611123765282997</v>
      </c>
      <c r="BP60">
        <v>3164.05343811686</v>
      </c>
    </row>
    <row r="61" spans="1:68" x14ac:dyDescent="0.25">
      <c r="A61" t="s">
        <v>37</v>
      </c>
      <c r="B61">
        <v>2029</v>
      </c>
      <c r="C61" t="s">
        <v>164</v>
      </c>
      <c r="D61">
        <v>2013</v>
      </c>
      <c r="E61" t="s">
        <v>39</v>
      </c>
      <c r="F61" t="s">
        <v>10</v>
      </c>
      <c r="G61">
        <v>1241.95900208895</v>
      </c>
      <c r="H61">
        <v>20524148.283002298</v>
      </c>
      <c r="I61">
        <v>20524148.283002298</v>
      </c>
      <c r="J61">
        <v>0</v>
      </c>
      <c r="K61">
        <v>5630247.2617099602</v>
      </c>
      <c r="L61">
        <v>0</v>
      </c>
      <c r="M61">
        <v>77.152359219949005</v>
      </c>
      <c r="N61">
        <v>17.4456720370545</v>
      </c>
      <c r="O61">
        <v>23.030422019186801</v>
      </c>
      <c r="P61">
        <v>117.62845327619</v>
      </c>
      <c r="Q61">
        <v>0.61075385553181805</v>
      </c>
      <c r="R61">
        <v>6.0111919172173003E-3</v>
      </c>
      <c r="S61">
        <v>0</v>
      </c>
      <c r="T61">
        <v>0.61676504744903604</v>
      </c>
      <c r="U61">
        <v>0.20361600719498499</v>
      </c>
      <c r="V61">
        <v>0.61521277315310396</v>
      </c>
      <c r="W61">
        <v>1.4355938277971201</v>
      </c>
      <c r="X61">
        <v>0.63836943469887197</v>
      </c>
      <c r="Y61">
        <v>6.2829913414447899E-3</v>
      </c>
      <c r="Z61">
        <v>0</v>
      </c>
      <c r="AA61">
        <v>0.64465242604031703</v>
      </c>
      <c r="AB61">
        <v>0.81446402877994295</v>
      </c>
      <c r="AC61">
        <v>1.7577507804374399</v>
      </c>
      <c r="AD61">
        <v>3.2168672352577001</v>
      </c>
      <c r="AE61">
        <v>32267.691358966302</v>
      </c>
      <c r="AF61">
        <v>4155.1323917313803</v>
      </c>
      <c r="AG61">
        <v>0</v>
      </c>
      <c r="AH61">
        <v>36422.823750697702</v>
      </c>
      <c r="AI61">
        <v>2.1919734982946599E-2</v>
      </c>
      <c r="AJ61">
        <v>6.8571601246514E-2</v>
      </c>
      <c r="AK61">
        <v>0</v>
      </c>
      <c r="AL61">
        <v>9.0491336229460595E-2</v>
      </c>
      <c r="AM61">
        <v>5.08378791427225</v>
      </c>
      <c r="AN61">
        <v>0.65464280044985101</v>
      </c>
      <c r="AO61">
        <v>0</v>
      </c>
      <c r="AP61">
        <v>5.7384307147221003</v>
      </c>
      <c r="AQ61">
        <v>0.471925883313844</v>
      </c>
      <c r="AR61">
        <v>1.4763277710100999</v>
      </c>
      <c r="AS61">
        <v>0</v>
      </c>
      <c r="AT61">
        <v>1.9482536543239399</v>
      </c>
      <c r="AU61">
        <v>0</v>
      </c>
      <c r="AV61">
        <v>0</v>
      </c>
      <c r="AW61">
        <v>0</v>
      </c>
      <c r="AX61">
        <v>1.9482536543239399</v>
      </c>
      <c r="AY61">
        <v>0.53725169454640698</v>
      </c>
      <c r="AZ61">
        <v>1.68068678732254</v>
      </c>
      <c r="BA61">
        <v>0</v>
      </c>
      <c r="BB61">
        <v>2.21793848186894</v>
      </c>
      <c r="BC61">
        <v>0</v>
      </c>
      <c r="BD61">
        <v>0</v>
      </c>
      <c r="BE61">
        <v>0</v>
      </c>
      <c r="BF61">
        <v>2.21793848186894</v>
      </c>
      <c r="BG61">
        <v>3.9758008909429301</v>
      </c>
      <c r="BH61">
        <v>21.813952949936599</v>
      </c>
      <c r="BI61">
        <v>0</v>
      </c>
      <c r="BJ61">
        <v>25.789753840879499</v>
      </c>
      <c r="BK61">
        <v>0.30555574144068198</v>
      </c>
      <c r="BL61">
        <v>3.9346619025686203E-2</v>
      </c>
      <c r="BM61">
        <v>0</v>
      </c>
      <c r="BN61">
        <v>0.34490236046636802</v>
      </c>
      <c r="BO61">
        <v>4.9772787493846602</v>
      </c>
      <c r="BP61">
        <v>3253.6364174594801</v>
      </c>
    </row>
    <row r="62" spans="1:68" x14ac:dyDescent="0.25">
      <c r="A62" t="s">
        <v>37</v>
      </c>
      <c r="B62">
        <v>2029</v>
      </c>
      <c r="C62" t="s">
        <v>164</v>
      </c>
      <c r="D62">
        <v>2014</v>
      </c>
      <c r="E62" t="s">
        <v>39</v>
      </c>
      <c r="F62" t="s">
        <v>10</v>
      </c>
      <c r="G62">
        <v>1484.5427146619299</v>
      </c>
      <c r="H62">
        <v>25256818.324131899</v>
      </c>
      <c r="I62">
        <v>25256818.324131899</v>
      </c>
      <c r="J62">
        <v>0</v>
      </c>
      <c r="K62">
        <v>6729966.5609398503</v>
      </c>
      <c r="L62">
        <v>0</v>
      </c>
      <c r="M62">
        <v>37.666225591028201</v>
      </c>
      <c r="N62">
        <v>20.8532208240606</v>
      </c>
      <c r="O62">
        <v>27.528803419973801</v>
      </c>
      <c r="P62">
        <v>86.048249835062705</v>
      </c>
      <c r="Q62">
        <v>0.890749368643868</v>
      </c>
      <c r="R62">
        <v>7.1853186394477504E-3</v>
      </c>
      <c r="S62">
        <v>0</v>
      </c>
      <c r="T62">
        <v>0.89793468728331505</v>
      </c>
      <c r="U62">
        <v>0.250567888649876</v>
      </c>
      <c r="V62">
        <v>0.75738356754408798</v>
      </c>
      <c r="W62">
        <v>1.90588614347728</v>
      </c>
      <c r="X62">
        <v>0.93102510245216097</v>
      </c>
      <c r="Y62">
        <v>7.5102068639443399E-3</v>
      </c>
      <c r="Z62">
        <v>0</v>
      </c>
      <c r="AA62">
        <v>0.93853530931610496</v>
      </c>
      <c r="AB62">
        <v>1.0022715545995</v>
      </c>
      <c r="AC62">
        <v>2.1639530501259601</v>
      </c>
      <c r="AD62">
        <v>4.1047599140415798</v>
      </c>
      <c r="AE62">
        <v>44689.748572823097</v>
      </c>
      <c r="AF62">
        <v>4322.8608252238</v>
      </c>
      <c r="AG62">
        <v>0</v>
      </c>
      <c r="AH62">
        <v>49012.609398046901</v>
      </c>
      <c r="AI62">
        <v>1.31375100502621E-2</v>
      </c>
      <c r="AJ62">
        <v>8.1965242727009793E-2</v>
      </c>
      <c r="AK62">
        <v>0</v>
      </c>
      <c r="AL62">
        <v>9.5102752777271898E-2</v>
      </c>
      <c r="AM62">
        <v>7.0408880870633697</v>
      </c>
      <c r="AN62">
        <v>0.68106848345216398</v>
      </c>
      <c r="AO62">
        <v>0</v>
      </c>
      <c r="AP62">
        <v>7.7219565705155304</v>
      </c>
      <c r="AQ62">
        <v>0.28284698879060099</v>
      </c>
      <c r="AR62">
        <v>1.7646891992568099</v>
      </c>
      <c r="AS62">
        <v>0</v>
      </c>
      <c r="AT62">
        <v>2.0475361880474101</v>
      </c>
      <c r="AU62">
        <v>0</v>
      </c>
      <c r="AV62">
        <v>0</v>
      </c>
      <c r="AW62">
        <v>0</v>
      </c>
      <c r="AX62">
        <v>2.0475361880474101</v>
      </c>
      <c r="AY62">
        <v>0.32199976606080899</v>
      </c>
      <c r="AZ62">
        <v>2.00896432293789</v>
      </c>
      <c r="BA62">
        <v>0</v>
      </c>
      <c r="BB62">
        <v>2.3309640889986998</v>
      </c>
      <c r="BC62">
        <v>0</v>
      </c>
      <c r="BD62">
        <v>0</v>
      </c>
      <c r="BE62">
        <v>0</v>
      </c>
      <c r="BF62">
        <v>2.3309640889986998</v>
      </c>
      <c r="BG62">
        <v>2.1489898695641099</v>
      </c>
      <c r="BH62">
        <v>26.074729419681201</v>
      </c>
      <c r="BI62">
        <v>0</v>
      </c>
      <c r="BJ62">
        <v>28.223719289245299</v>
      </c>
      <c r="BK62">
        <v>0.42318519500070101</v>
      </c>
      <c r="BL62">
        <v>4.0934906991079101E-2</v>
      </c>
      <c r="BM62">
        <v>0</v>
      </c>
      <c r="BN62">
        <v>0.46412010199178</v>
      </c>
      <c r="BO62">
        <v>6.1249910782354497</v>
      </c>
      <c r="BP62">
        <v>4378.2769821394504</v>
      </c>
    </row>
    <row r="63" spans="1:68" x14ac:dyDescent="0.25">
      <c r="A63" t="s">
        <v>37</v>
      </c>
      <c r="B63">
        <v>2029</v>
      </c>
      <c r="C63" t="s">
        <v>164</v>
      </c>
      <c r="D63">
        <v>2015</v>
      </c>
      <c r="E63" t="s">
        <v>39</v>
      </c>
      <c r="F63" t="s">
        <v>10</v>
      </c>
      <c r="G63">
        <v>1660.5795756575301</v>
      </c>
      <c r="H63">
        <v>29130879.8122003</v>
      </c>
      <c r="I63">
        <v>29130879.8122003</v>
      </c>
      <c r="J63">
        <v>0</v>
      </c>
      <c r="K63">
        <v>7528005.0251028398</v>
      </c>
      <c r="L63">
        <v>0</v>
      </c>
      <c r="M63">
        <v>43.209820954391702</v>
      </c>
      <c r="N63">
        <v>23.325992741810001</v>
      </c>
      <c r="O63">
        <v>30.793164959157</v>
      </c>
      <c r="P63">
        <v>97.328978655358796</v>
      </c>
      <c r="Q63">
        <v>1.0192106057763</v>
      </c>
      <c r="R63">
        <v>8.0373526874067992E-3</v>
      </c>
      <c r="S63">
        <v>0</v>
      </c>
      <c r="T63">
        <v>1.02724795846371</v>
      </c>
      <c r="U63">
        <v>0.28900168482750599</v>
      </c>
      <c r="V63">
        <v>0.87278456693073403</v>
      </c>
      <c r="W63">
        <v>2.18903421022195</v>
      </c>
      <c r="X63">
        <v>1.06529478668942</v>
      </c>
      <c r="Y63">
        <v>8.40076611070701E-3</v>
      </c>
      <c r="Z63">
        <v>0</v>
      </c>
      <c r="AA63">
        <v>1.07369555280013</v>
      </c>
      <c r="AB63">
        <v>1.15600673931002</v>
      </c>
      <c r="AC63">
        <v>2.4936701912306698</v>
      </c>
      <c r="AD63">
        <v>4.7233724833408299</v>
      </c>
      <c r="AE63">
        <v>51539.3391923491</v>
      </c>
      <c r="AF63">
        <v>4835.4650384117704</v>
      </c>
      <c r="AG63">
        <v>0</v>
      </c>
      <c r="AH63">
        <v>56374.804230760899</v>
      </c>
      <c r="AI63">
        <v>1.5061110489346699E-2</v>
      </c>
      <c r="AJ63">
        <v>9.16846693880949E-2</v>
      </c>
      <c r="AK63">
        <v>0</v>
      </c>
      <c r="AL63">
        <v>0.10674577987744099</v>
      </c>
      <c r="AM63">
        <v>8.1200438785911295</v>
      </c>
      <c r="AN63">
        <v>0.76182948599243305</v>
      </c>
      <c r="AO63">
        <v>0</v>
      </c>
      <c r="AP63">
        <v>8.8818733645835692</v>
      </c>
      <c r="AQ63">
        <v>0.32426157875093498</v>
      </c>
      <c r="AR63">
        <v>1.9739457899913799</v>
      </c>
      <c r="AS63">
        <v>0</v>
      </c>
      <c r="AT63">
        <v>2.2982073687423199</v>
      </c>
      <c r="AU63">
        <v>0</v>
      </c>
      <c r="AV63">
        <v>0</v>
      </c>
      <c r="AW63">
        <v>0</v>
      </c>
      <c r="AX63">
        <v>2.2982073687423199</v>
      </c>
      <c r="AY63">
        <v>0.369147124198691</v>
      </c>
      <c r="AZ63">
        <v>2.2471870226078501</v>
      </c>
      <c r="BA63">
        <v>0</v>
      </c>
      <c r="BB63">
        <v>2.61633414680654</v>
      </c>
      <c r="BC63">
        <v>0</v>
      </c>
      <c r="BD63">
        <v>0</v>
      </c>
      <c r="BE63">
        <v>0</v>
      </c>
      <c r="BF63">
        <v>2.61633414680654</v>
      </c>
      <c r="BG63">
        <v>2.4578016653239501</v>
      </c>
      <c r="BH63">
        <v>29.1666670736243</v>
      </c>
      <c r="BI63">
        <v>0</v>
      </c>
      <c r="BJ63">
        <v>31.624468738948298</v>
      </c>
      <c r="BK63">
        <v>0.48804672218686701</v>
      </c>
      <c r="BL63">
        <v>4.5788962358220997E-2</v>
      </c>
      <c r="BM63">
        <v>0</v>
      </c>
      <c r="BN63">
        <v>0.53383568454508801</v>
      </c>
      <c r="BO63">
        <v>7.0644836044291601</v>
      </c>
      <c r="BP63">
        <v>5035.9389301560896</v>
      </c>
    </row>
    <row r="64" spans="1:68" x14ac:dyDescent="0.25">
      <c r="A64" t="s">
        <v>37</v>
      </c>
      <c r="B64">
        <v>2029</v>
      </c>
      <c r="C64" t="s">
        <v>164</v>
      </c>
      <c r="D64">
        <v>2016</v>
      </c>
      <c r="E64" t="s">
        <v>39</v>
      </c>
      <c r="F64" t="s">
        <v>10</v>
      </c>
      <c r="G64">
        <v>2165.9561996277998</v>
      </c>
      <c r="H64">
        <v>39181541.247496299</v>
      </c>
      <c r="I64">
        <v>39181541.247496299</v>
      </c>
      <c r="J64">
        <v>0</v>
      </c>
      <c r="K64">
        <v>9819059.1971447207</v>
      </c>
      <c r="L64">
        <v>0</v>
      </c>
      <c r="M64">
        <v>57.741812152669503</v>
      </c>
      <c r="N64">
        <v>30.424966880368402</v>
      </c>
      <c r="O64">
        <v>47.398793092224103</v>
      </c>
      <c r="P64">
        <v>135.56557212526201</v>
      </c>
      <c r="Q64">
        <v>1.3506415103668299</v>
      </c>
      <c r="R64">
        <v>1.0483420449749099E-2</v>
      </c>
      <c r="S64">
        <v>0</v>
      </c>
      <c r="T64">
        <v>1.36112493081658</v>
      </c>
      <c r="U64">
        <v>0.38871230486909097</v>
      </c>
      <c r="V64">
        <v>1.1747033623013801</v>
      </c>
      <c r="W64">
        <v>2.9245405979870598</v>
      </c>
      <c r="X64">
        <v>1.41171152608268</v>
      </c>
      <c r="Y64">
        <v>1.0957434202997499E-2</v>
      </c>
      <c r="Z64">
        <v>0</v>
      </c>
      <c r="AA64">
        <v>1.4226689602856799</v>
      </c>
      <c r="AB64">
        <v>1.5548492194763599</v>
      </c>
      <c r="AC64">
        <v>3.3562953208611002</v>
      </c>
      <c r="AD64">
        <v>6.3338135006231502</v>
      </c>
      <c r="AE64">
        <v>69326.342809124704</v>
      </c>
      <c r="AF64">
        <v>6307.0783427433098</v>
      </c>
      <c r="AG64">
        <v>0</v>
      </c>
      <c r="AH64">
        <v>75633.421151867995</v>
      </c>
      <c r="AI64">
        <v>2.01151273582892E-2</v>
      </c>
      <c r="AJ64">
        <v>0.119587751760307</v>
      </c>
      <c r="AK64">
        <v>0</v>
      </c>
      <c r="AL64">
        <v>0.139702879118596</v>
      </c>
      <c r="AM64">
        <v>10.9223935419783</v>
      </c>
      <c r="AN64">
        <v>0.99368276138841205</v>
      </c>
      <c r="AO64">
        <v>0</v>
      </c>
      <c r="AP64">
        <v>11.916076303366699</v>
      </c>
      <c r="AQ64">
        <v>0.43307317601770601</v>
      </c>
      <c r="AR64">
        <v>2.5746915018318899</v>
      </c>
      <c r="AS64">
        <v>0</v>
      </c>
      <c r="AT64">
        <v>3.0077646778495901</v>
      </c>
      <c r="AU64">
        <v>0</v>
      </c>
      <c r="AV64">
        <v>0</v>
      </c>
      <c r="AW64">
        <v>0</v>
      </c>
      <c r="AX64">
        <v>3.0077646778495901</v>
      </c>
      <c r="AY64">
        <v>0.49302084480790198</v>
      </c>
      <c r="AZ64">
        <v>2.9310902860004999</v>
      </c>
      <c r="BA64">
        <v>0</v>
      </c>
      <c r="BB64">
        <v>3.4241111308084</v>
      </c>
      <c r="BC64">
        <v>0</v>
      </c>
      <c r="BD64">
        <v>0</v>
      </c>
      <c r="BE64">
        <v>0</v>
      </c>
      <c r="BF64">
        <v>3.4241111308084</v>
      </c>
      <c r="BG64">
        <v>3.2884559519524399</v>
      </c>
      <c r="BH64">
        <v>38.043177392195901</v>
      </c>
      <c r="BI64">
        <v>0</v>
      </c>
      <c r="BJ64">
        <v>41.331633344148301</v>
      </c>
      <c r="BK64">
        <v>0.656479010002888</v>
      </c>
      <c r="BL64">
        <v>5.9724260341478999E-2</v>
      </c>
      <c r="BM64">
        <v>0</v>
      </c>
      <c r="BN64">
        <v>0.71620327034436704</v>
      </c>
      <c r="BO64">
        <v>9.5018536180042599</v>
      </c>
      <c r="BP64">
        <v>6756.3035507935901</v>
      </c>
    </row>
    <row r="65" spans="1:68" x14ac:dyDescent="0.25">
      <c r="A65" t="s">
        <v>37</v>
      </c>
      <c r="B65">
        <v>2029</v>
      </c>
      <c r="C65" t="s">
        <v>164</v>
      </c>
      <c r="D65">
        <v>2017</v>
      </c>
      <c r="E65" t="s">
        <v>39</v>
      </c>
      <c r="F65" t="s">
        <v>10</v>
      </c>
      <c r="G65">
        <v>1425.4798438354701</v>
      </c>
      <c r="H65">
        <v>26616745.454952501</v>
      </c>
      <c r="I65">
        <v>26616745.454952501</v>
      </c>
      <c r="J65">
        <v>0</v>
      </c>
      <c r="K65">
        <v>6462213.3048499804</v>
      </c>
      <c r="L65">
        <v>0</v>
      </c>
      <c r="M65">
        <v>38.8756073205262</v>
      </c>
      <c r="N65">
        <v>20.023570672749401</v>
      </c>
      <c r="O65">
        <v>31.194547787579399</v>
      </c>
      <c r="P65">
        <v>90.093725780854996</v>
      </c>
      <c r="Q65">
        <v>0.74016201842971396</v>
      </c>
      <c r="R65">
        <v>6.8994490969567996E-3</v>
      </c>
      <c r="S65">
        <v>0</v>
      </c>
      <c r="T65">
        <v>0.74706146752667002</v>
      </c>
      <c r="U65">
        <v>0.26405945617490501</v>
      </c>
      <c r="V65">
        <v>0.79792315482054899</v>
      </c>
      <c r="W65">
        <v>1.80904407852212</v>
      </c>
      <c r="X65">
        <v>0.773628860482792</v>
      </c>
      <c r="Y65">
        <v>7.2114115692692602E-3</v>
      </c>
      <c r="Z65">
        <v>0</v>
      </c>
      <c r="AA65">
        <v>0.78084027205206097</v>
      </c>
      <c r="AB65">
        <v>1.05623782469962</v>
      </c>
      <c r="AC65">
        <v>2.2797804423444199</v>
      </c>
      <c r="AD65">
        <v>4.1168585390961097</v>
      </c>
      <c r="AE65">
        <v>49106.702919224299</v>
      </c>
      <c r="AF65">
        <v>4031.4590067921499</v>
      </c>
      <c r="AG65">
        <v>0</v>
      </c>
      <c r="AH65">
        <v>53138.161926016503</v>
      </c>
      <c r="AI65">
        <v>1.42195430975058E-2</v>
      </c>
      <c r="AJ65">
        <v>7.87042368323108E-2</v>
      </c>
      <c r="AK65">
        <v>0</v>
      </c>
      <c r="AL65">
        <v>9.2923779929816597E-2</v>
      </c>
      <c r="AM65">
        <v>7.7367810430956103</v>
      </c>
      <c r="AN65">
        <v>0.63515800828803104</v>
      </c>
      <c r="AO65">
        <v>0</v>
      </c>
      <c r="AP65">
        <v>8.3719390513836398</v>
      </c>
      <c r="AQ65">
        <v>0.30614286358071702</v>
      </c>
      <c r="AR65">
        <v>1.69448063658282</v>
      </c>
      <c r="AS65">
        <v>0</v>
      </c>
      <c r="AT65">
        <v>2.00062350016354</v>
      </c>
      <c r="AU65">
        <v>0</v>
      </c>
      <c r="AV65">
        <v>0</v>
      </c>
      <c r="AW65">
        <v>0</v>
      </c>
      <c r="AX65">
        <v>2.00062350016354</v>
      </c>
      <c r="AY65">
        <v>0.34852034619734601</v>
      </c>
      <c r="AZ65">
        <v>1.9290372186998199</v>
      </c>
      <c r="BA65">
        <v>0</v>
      </c>
      <c r="BB65">
        <v>2.2775575648971702</v>
      </c>
      <c r="BC65">
        <v>0</v>
      </c>
      <c r="BD65">
        <v>0</v>
      </c>
      <c r="BE65">
        <v>0</v>
      </c>
      <c r="BF65">
        <v>2.2775575648971702</v>
      </c>
      <c r="BG65">
        <v>1.25507152906791</v>
      </c>
      <c r="BH65">
        <v>25.0373403568139</v>
      </c>
      <c r="BI65">
        <v>0</v>
      </c>
      <c r="BJ65">
        <v>26.292411885881801</v>
      </c>
      <c r="BK65">
        <v>0.465011111370428</v>
      </c>
      <c r="BL65">
        <v>3.8175506025651798E-2</v>
      </c>
      <c r="BM65">
        <v>0</v>
      </c>
      <c r="BN65">
        <v>0.50318661739607895</v>
      </c>
      <c r="BO65">
        <v>6.4547848565502797</v>
      </c>
      <c r="BP65">
        <v>4746.8109552059104</v>
      </c>
    </row>
    <row r="66" spans="1:68" x14ac:dyDescent="0.25">
      <c r="A66" t="s">
        <v>106</v>
      </c>
      <c r="M66" s="75">
        <f>SUM(M58:M65)*453.6*2000/SUM($H$58:$H$65)</f>
        <v>2.0264226008996391</v>
      </c>
      <c r="O66">
        <f t="shared" ref="O66:AM66" si="8">SUM(O58:O65)*453.6*2000/SUM($H$58:$H$65)</f>
        <v>0.9715679470919617</v>
      </c>
      <c r="P66">
        <f t="shared" si="8"/>
        <v>3.7410628998471278</v>
      </c>
      <c r="Q66">
        <f t="shared" si="8"/>
        <v>3.0740706498423861E-2</v>
      </c>
      <c r="S66">
        <f t="shared" si="8"/>
        <v>0</v>
      </c>
      <c r="T66">
        <f t="shared" si="8"/>
        <v>3.0994401927079879E-2</v>
      </c>
      <c r="U66">
        <f t="shared" si="8"/>
        <v>9.0001513914354445E-3</v>
      </c>
      <c r="V66">
        <f t="shared" si="8"/>
        <v>2.7193851351728131E-2</v>
      </c>
      <c r="W66">
        <f t="shared" si="8"/>
        <v>6.7188404670243396E-2</v>
      </c>
      <c r="X66">
        <f t="shared" si="8"/>
        <v>3.2130664836417765E-2</v>
      </c>
      <c r="Z66">
        <f t="shared" si="8"/>
        <v>0</v>
      </c>
      <c r="AA66">
        <f t="shared" si="8"/>
        <v>3.2395831246600837E-2</v>
      </c>
      <c r="AB66">
        <f t="shared" si="8"/>
        <v>3.6000605565741722E-2</v>
      </c>
      <c r="AC66">
        <f t="shared" si="8"/>
        <v>7.7696718147794663E-2</v>
      </c>
      <c r="AD66">
        <f t="shared" si="8"/>
        <v>0.14609315496013739</v>
      </c>
      <c r="AE66" s="73">
        <f t="shared" si="8"/>
        <v>1579.1492476771411</v>
      </c>
      <c r="AG66">
        <f t="shared" si="8"/>
        <v>0</v>
      </c>
      <c r="AH66">
        <f t="shared" si="8"/>
        <v>1738.626457977859</v>
      </c>
      <c r="AI66" s="74">
        <f t="shared" si="8"/>
        <v>8.5065216590153093E-4</v>
      </c>
      <c r="AK66">
        <f t="shared" si="8"/>
        <v>0</v>
      </c>
      <c r="AL66">
        <f t="shared" si="8"/>
        <v>3.7439639441674633E-3</v>
      </c>
      <c r="AM66" s="74">
        <f t="shared" si="8"/>
        <v>0.24879560706292631</v>
      </c>
    </row>
    <row r="67" spans="1:68" x14ac:dyDescent="0.25">
      <c r="A67" t="s">
        <v>283</v>
      </c>
      <c r="N67">
        <f>SUM(N58:N65)*453.6*2000/SUM($G$58:$G$65)/312</f>
        <v>41.221163153171588</v>
      </c>
      <c r="O67">
        <f t="shared" ref="O67:AN67" si="9">SUM(O58:O65)*453.6*2000/SUM($G$58:$G$65)/312</f>
        <v>53.896717811479427</v>
      </c>
      <c r="P67">
        <f t="shared" si="9"/>
        <v>207.53155971392971</v>
      </c>
      <c r="R67">
        <f t="shared" si="9"/>
        <v>1.407348911546686E-2</v>
      </c>
      <c r="S67">
        <f t="shared" si="9"/>
        <v>0</v>
      </c>
      <c r="T67">
        <f t="shared" si="9"/>
        <v>1.7193820971548384</v>
      </c>
      <c r="U67">
        <f t="shared" si="9"/>
        <v>0.49927400472267319</v>
      </c>
      <c r="V67">
        <f t="shared" si="9"/>
        <v>1.5085505207312901</v>
      </c>
      <c r="W67">
        <f t="shared" si="9"/>
        <v>3.7272066226087985</v>
      </c>
      <c r="Y67">
        <f t="shared" si="9"/>
        <v>1.4709829843085248E-2</v>
      </c>
      <c r="Z67">
        <f t="shared" si="9"/>
        <v>0</v>
      </c>
      <c r="AA67">
        <f t="shared" si="9"/>
        <v>1.7971249259431221</v>
      </c>
      <c r="AB67">
        <f t="shared" si="9"/>
        <v>1.9970960188906901</v>
      </c>
      <c r="AC67">
        <f t="shared" si="9"/>
        <v>4.3101443449465426</v>
      </c>
      <c r="AD67">
        <f t="shared" si="9"/>
        <v>8.1043652897803646</v>
      </c>
      <c r="AF67" s="73">
        <f t="shared" si="9"/>
        <v>8846.831790475042</v>
      </c>
      <c r="AG67">
        <f t="shared" si="9"/>
        <v>0</v>
      </c>
      <c r="AH67">
        <f t="shared" si="9"/>
        <v>96448.488101815776</v>
      </c>
      <c r="AJ67" s="74">
        <f t="shared" si="9"/>
        <v>0.16050345106647362</v>
      </c>
      <c r="AK67">
        <f t="shared" si="9"/>
        <v>0</v>
      </c>
      <c r="AL67">
        <f t="shared" si="9"/>
        <v>0.20769249211969681</v>
      </c>
      <c r="AN67" s="74">
        <f t="shared" si="9"/>
        <v>1.3938219513655759</v>
      </c>
    </row>
    <row r="68" spans="1:68" x14ac:dyDescent="0.25">
      <c r="BP68" s="74">
        <f>SUM(H58:H65)/(SUM(BP58:BP65)*1000)</f>
        <v>5.8411902161231604</v>
      </c>
    </row>
    <row r="70" spans="1:68" x14ac:dyDescent="0.25">
      <c r="A70" t="s">
        <v>37</v>
      </c>
      <c r="B70">
        <v>2030</v>
      </c>
      <c r="C70" t="s">
        <v>164</v>
      </c>
      <c r="D70">
        <v>2010</v>
      </c>
      <c r="E70" t="s">
        <v>39</v>
      </c>
      <c r="F70" t="s">
        <v>10</v>
      </c>
      <c r="G70">
        <v>1.0422221488455401</v>
      </c>
      <c r="H70">
        <v>652.45308493754101</v>
      </c>
      <c r="I70">
        <v>652.45308493754101</v>
      </c>
      <c r="J70">
        <v>0</v>
      </c>
      <c r="K70">
        <v>4724.7682006904197</v>
      </c>
      <c r="L70">
        <v>0</v>
      </c>
      <c r="M70">
        <v>5.0824724950493099E-3</v>
      </c>
      <c r="N70">
        <v>2.1903034836191802E-2</v>
      </c>
      <c r="O70">
        <v>1.9664270896695901E-3</v>
      </c>
      <c r="P70">
        <v>2.8951934420910701E-2</v>
      </c>
      <c r="Q70">
        <v>3.2129314939254299E-5</v>
      </c>
      <c r="R70">
        <v>5.0444478010526503E-6</v>
      </c>
      <c r="S70">
        <v>0</v>
      </c>
      <c r="T70">
        <v>3.71737627403069E-5</v>
      </c>
      <c r="U70">
        <v>6.4728577383674599E-6</v>
      </c>
      <c r="V70">
        <v>1.9592365097269601E-5</v>
      </c>
      <c r="W70">
        <v>6.3238985575943997E-5</v>
      </c>
      <c r="X70">
        <v>3.3582059989083801E-5</v>
      </c>
      <c r="Y70">
        <v>5.2725353462106597E-6</v>
      </c>
      <c r="Z70">
        <v>0</v>
      </c>
      <c r="AA70">
        <v>3.8854595335294501E-5</v>
      </c>
      <c r="AB70">
        <v>2.5891430953469799E-5</v>
      </c>
      <c r="AC70">
        <v>5.5978185992198902E-5</v>
      </c>
      <c r="AD70">
        <v>1.20724212280963E-4</v>
      </c>
      <c r="AE70">
        <v>1.1568862859215701</v>
      </c>
      <c r="AF70">
        <v>3.9202638124219402</v>
      </c>
      <c r="AG70">
        <v>0</v>
      </c>
      <c r="AH70">
        <v>5.0771500983435098</v>
      </c>
      <c r="AI70">
        <v>6.24467848437628E-6</v>
      </c>
      <c r="AJ70">
        <v>5.6660801767186703E-5</v>
      </c>
      <c r="AK70">
        <v>0</v>
      </c>
      <c r="AL70">
        <v>6.2905480251562905E-5</v>
      </c>
      <c r="AM70">
        <v>1.8226790547632801E-4</v>
      </c>
      <c r="AN70">
        <v>6.1763916013196803E-4</v>
      </c>
      <c r="AO70">
        <v>0</v>
      </c>
      <c r="AP70">
        <v>7.9990706560829601E-4</v>
      </c>
      <c r="AQ70">
        <v>1.3444621534169899E-4</v>
      </c>
      <c r="AR70">
        <v>1.2198915244209501E-3</v>
      </c>
      <c r="AS70">
        <v>0</v>
      </c>
      <c r="AT70">
        <v>1.35433773976265E-3</v>
      </c>
      <c r="AU70">
        <v>0</v>
      </c>
      <c r="AV70">
        <v>0</v>
      </c>
      <c r="AW70">
        <v>0</v>
      </c>
      <c r="AX70">
        <v>1.35433773976265E-3</v>
      </c>
      <c r="AY70">
        <v>1.53056781947353E-4</v>
      </c>
      <c r="AZ70">
        <v>1.38875364083835E-3</v>
      </c>
      <c r="BA70">
        <v>0</v>
      </c>
      <c r="BB70">
        <v>1.5418104227857101E-3</v>
      </c>
      <c r="BC70">
        <v>0</v>
      </c>
      <c r="BD70">
        <v>0</v>
      </c>
      <c r="BE70">
        <v>0</v>
      </c>
      <c r="BF70">
        <v>1.5418104227857101E-3</v>
      </c>
      <c r="BG70">
        <v>3.1668241188608301E-4</v>
      </c>
      <c r="BH70">
        <v>6.83063584385072E-3</v>
      </c>
      <c r="BI70">
        <v>0</v>
      </c>
      <c r="BJ70">
        <v>7.1473182557368099E-3</v>
      </c>
      <c r="BK70">
        <v>1.0955021322251999E-5</v>
      </c>
      <c r="BL70">
        <v>3.7122554028483499E-5</v>
      </c>
      <c r="BM70">
        <v>0</v>
      </c>
      <c r="BN70">
        <v>4.80775753507355E-5</v>
      </c>
      <c r="BO70">
        <v>2.7329835951461399E-5</v>
      </c>
      <c r="BP70">
        <v>0.45353980707116298</v>
      </c>
    </row>
    <row r="71" spans="1:68" x14ac:dyDescent="0.25">
      <c r="A71" t="s">
        <v>37</v>
      </c>
      <c r="B71">
        <v>2030</v>
      </c>
      <c r="C71" t="s">
        <v>164</v>
      </c>
      <c r="D71">
        <v>2011</v>
      </c>
      <c r="E71" t="s">
        <v>39</v>
      </c>
      <c r="F71" t="s">
        <v>10</v>
      </c>
      <c r="G71">
        <v>603.064695125458</v>
      </c>
      <c r="H71">
        <v>9326716.1037600003</v>
      </c>
      <c r="I71">
        <v>9326716.1037600003</v>
      </c>
      <c r="J71">
        <v>0</v>
      </c>
      <c r="K71">
        <v>2733909.3662939402</v>
      </c>
      <c r="L71">
        <v>0</v>
      </c>
      <c r="M71">
        <v>44.072391993460798</v>
      </c>
      <c r="N71">
        <v>9.5951787927207004</v>
      </c>
      <c r="O71">
        <v>6.3389982175808104</v>
      </c>
      <c r="P71">
        <v>60.006569003762301</v>
      </c>
      <c r="Q71">
        <v>0.50724153627659396</v>
      </c>
      <c r="R71">
        <v>2.9188867062438098E-3</v>
      </c>
      <c r="S71">
        <v>0</v>
      </c>
      <c r="T71">
        <v>0.51016042298283804</v>
      </c>
      <c r="U71">
        <v>9.2528501894597603E-2</v>
      </c>
      <c r="V71">
        <v>0.27959330633825802</v>
      </c>
      <c r="W71">
        <v>0.88228223121569505</v>
      </c>
      <c r="X71">
        <v>0.53017674769604095</v>
      </c>
      <c r="Y71">
        <v>3.0508658107322299E-3</v>
      </c>
      <c r="Z71">
        <v>0</v>
      </c>
      <c r="AA71">
        <v>0.53322761350677295</v>
      </c>
      <c r="AB71">
        <v>0.37011400757839003</v>
      </c>
      <c r="AC71">
        <v>0.79883801810931099</v>
      </c>
      <c r="AD71">
        <v>1.7021796391944699</v>
      </c>
      <c r="AE71">
        <v>15565.205994759899</v>
      </c>
      <c r="AF71">
        <v>2072.2253847981801</v>
      </c>
      <c r="AG71">
        <v>0</v>
      </c>
      <c r="AH71">
        <v>17637.4313795581</v>
      </c>
      <c r="AI71">
        <v>4.8179993492277903E-2</v>
      </c>
      <c r="AJ71">
        <v>3.3185463008985103E-2</v>
      </c>
      <c r="AK71">
        <v>0</v>
      </c>
      <c r="AL71">
        <v>8.1365456501263103E-2</v>
      </c>
      <c r="AM71">
        <v>2.4523045432356301</v>
      </c>
      <c r="AN71">
        <v>0.32647995326625201</v>
      </c>
      <c r="AO71">
        <v>0</v>
      </c>
      <c r="AP71">
        <v>2.7787844965018902</v>
      </c>
      <c r="AQ71">
        <v>1.03730204788461</v>
      </c>
      <c r="AR71">
        <v>0.71447391840633001</v>
      </c>
      <c r="AS71">
        <v>0</v>
      </c>
      <c r="AT71">
        <v>1.75177596629094</v>
      </c>
      <c r="AU71">
        <v>0</v>
      </c>
      <c r="AV71">
        <v>0</v>
      </c>
      <c r="AW71">
        <v>0</v>
      </c>
      <c r="AX71">
        <v>1.75177596629094</v>
      </c>
      <c r="AY71">
        <v>1.1808894207479801</v>
      </c>
      <c r="AZ71">
        <v>0.81337416943020102</v>
      </c>
      <c r="BA71">
        <v>0</v>
      </c>
      <c r="BB71">
        <v>1.99426359017818</v>
      </c>
      <c r="BC71">
        <v>0</v>
      </c>
      <c r="BD71">
        <v>0</v>
      </c>
      <c r="BE71">
        <v>0</v>
      </c>
      <c r="BF71">
        <v>1.99426359017818</v>
      </c>
      <c r="BG71">
        <v>2.7168772083391999</v>
      </c>
      <c r="BH71">
        <v>9.1467188447168795</v>
      </c>
      <c r="BI71">
        <v>0</v>
      </c>
      <c r="BJ71">
        <v>11.863596053056</v>
      </c>
      <c r="BK71">
        <v>0.14739319294636199</v>
      </c>
      <c r="BL71">
        <v>1.9622735225780698E-2</v>
      </c>
      <c r="BM71">
        <v>0</v>
      </c>
      <c r="BN71">
        <v>0.167015928172143</v>
      </c>
      <c r="BO71">
        <v>2.2618071758540998</v>
      </c>
      <c r="BP71">
        <v>1575.5447584119099</v>
      </c>
    </row>
    <row r="72" spans="1:68" x14ac:dyDescent="0.25">
      <c r="A72" t="s">
        <v>37</v>
      </c>
      <c r="B72">
        <v>2030</v>
      </c>
      <c r="C72" t="s">
        <v>164</v>
      </c>
      <c r="D72">
        <v>2012</v>
      </c>
      <c r="E72" t="s">
        <v>39</v>
      </c>
      <c r="F72" t="s">
        <v>10</v>
      </c>
      <c r="G72">
        <v>1047.7023184050299</v>
      </c>
      <c r="H72">
        <v>16214390.4303819</v>
      </c>
      <c r="I72">
        <v>16214390.4303819</v>
      </c>
      <c r="J72">
        <v>0</v>
      </c>
      <c r="K72">
        <v>4749611.78216465</v>
      </c>
      <c r="L72">
        <v>0</v>
      </c>
      <c r="M72">
        <v>64.8427710914183</v>
      </c>
      <c r="N72">
        <v>14.716968119408801</v>
      </c>
      <c r="O72">
        <v>13.528231054038599</v>
      </c>
      <c r="P72">
        <v>93.087970264865902</v>
      </c>
      <c r="Q72">
        <v>0.49677950958758699</v>
      </c>
      <c r="R72">
        <v>5.0709723086294796E-3</v>
      </c>
      <c r="S72">
        <v>0</v>
      </c>
      <c r="T72">
        <v>0.50185048189621595</v>
      </c>
      <c r="U72">
        <v>0.160859753740387</v>
      </c>
      <c r="V72">
        <v>0.48585904686272202</v>
      </c>
      <c r="W72">
        <v>1.1485692824993201</v>
      </c>
      <c r="X72">
        <v>0.51924167458471204</v>
      </c>
      <c r="Y72">
        <v>5.3002591743193496E-3</v>
      </c>
      <c r="Z72">
        <v>0</v>
      </c>
      <c r="AA72">
        <v>0.52454193375903202</v>
      </c>
      <c r="AB72">
        <v>0.64343901496154798</v>
      </c>
      <c r="AC72">
        <v>1.3881687053220599</v>
      </c>
      <c r="AD72">
        <v>2.5561496540426401</v>
      </c>
      <c r="AE72">
        <v>27158.763764746502</v>
      </c>
      <c r="AF72">
        <v>3505.22185738385</v>
      </c>
      <c r="AG72">
        <v>0</v>
      </c>
      <c r="AH72">
        <v>30663.9856221304</v>
      </c>
      <c r="AI72">
        <v>1.74361233911026E-2</v>
      </c>
      <c r="AJ72">
        <v>5.7846213507756997E-2</v>
      </c>
      <c r="AK72">
        <v>0</v>
      </c>
      <c r="AL72">
        <v>7.52823368988597E-2</v>
      </c>
      <c r="AM72">
        <v>4.2788742912476101</v>
      </c>
      <c r="AN72">
        <v>0.552249131094386</v>
      </c>
      <c r="AO72">
        <v>0</v>
      </c>
      <c r="AP72">
        <v>4.8311234223420003</v>
      </c>
      <c r="AQ72">
        <v>0.37539495524544603</v>
      </c>
      <c r="AR72">
        <v>1.2454131141297</v>
      </c>
      <c r="AS72">
        <v>0</v>
      </c>
      <c r="AT72">
        <v>1.6208080693751501</v>
      </c>
      <c r="AU72">
        <v>0</v>
      </c>
      <c r="AV72">
        <v>0</v>
      </c>
      <c r="AW72">
        <v>0</v>
      </c>
      <c r="AX72">
        <v>1.6208080693751501</v>
      </c>
      <c r="AY72">
        <v>0.42735858099917901</v>
      </c>
      <c r="AZ72">
        <v>1.4178080279854699</v>
      </c>
      <c r="BA72">
        <v>0</v>
      </c>
      <c r="BB72">
        <v>1.8451666089846499</v>
      </c>
      <c r="BC72">
        <v>0</v>
      </c>
      <c r="BD72">
        <v>0</v>
      </c>
      <c r="BE72">
        <v>0</v>
      </c>
      <c r="BF72">
        <v>1.8451666089846499</v>
      </c>
      <c r="BG72">
        <v>3.1565375255426602</v>
      </c>
      <c r="BH72">
        <v>18.401999615757099</v>
      </c>
      <c r="BI72">
        <v>0</v>
      </c>
      <c r="BJ72">
        <v>21.558537141299698</v>
      </c>
      <c r="BK72">
        <v>0.25717725220659499</v>
      </c>
      <c r="BL72">
        <v>3.3192354904851097E-2</v>
      </c>
      <c r="BM72">
        <v>0</v>
      </c>
      <c r="BN72">
        <v>0.29036960711144599</v>
      </c>
      <c r="BO72">
        <v>3.9321261867028401</v>
      </c>
      <c r="BP72">
        <v>2739.20168868582</v>
      </c>
    </row>
    <row r="73" spans="1:68" x14ac:dyDescent="0.25">
      <c r="A73" t="s">
        <v>37</v>
      </c>
      <c r="B73">
        <v>2030</v>
      </c>
      <c r="C73" t="s">
        <v>164</v>
      </c>
      <c r="D73">
        <v>2013</v>
      </c>
      <c r="E73" t="s">
        <v>39</v>
      </c>
      <c r="F73" t="s">
        <v>10</v>
      </c>
      <c r="G73">
        <v>1094.4938957775801</v>
      </c>
      <c r="H73">
        <v>17404458.791249599</v>
      </c>
      <c r="I73">
        <v>17404458.791249599</v>
      </c>
      <c r="J73">
        <v>0</v>
      </c>
      <c r="K73">
        <v>4961734.8473622603</v>
      </c>
      <c r="L73">
        <v>0</v>
      </c>
      <c r="M73">
        <v>65.579908180795698</v>
      </c>
      <c r="N73">
        <v>15.3742446571729</v>
      </c>
      <c r="O73">
        <v>20.295884384898699</v>
      </c>
      <c r="P73">
        <v>101.25003722286699</v>
      </c>
      <c r="Q73">
        <v>0.51946173481225</v>
      </c>
      <c r="R73">
        <v>5.2974477005084397E-3</v>
      </c>
      <c r="S73">
        <v>0</v>
      </c>
      <c r="T73">
        <v>0.52475918251275899</v>
      </c>
      <c r="U73">
        <v>0.172666186075006</v>
      </c>
      <c r="V73">
        <v>0.52167354005345101</v>
      </c>
      <c r="W73">
        <v>1.2190989086412101</v>
      </c>
      <c r="X73">
        <v>0.54294948938315102</v>
      </c>
      <c r="Y73">
        <v>5.5369747784494196E-3</v>
      </c>
      <c r="Z73">
        <v>0</v>
      </c>
      <c r="AA73">
        <v>0.54848646416160096</v>
      </c>
      <c r="AB73">
        <v>0.690664744300026</v>
      </c>
      <c r="AC73">
        <v>1.4904958287241401</v>
      </c>
      <c r="AD73">
        <v>2.72964703718577</v>
      </c>
      <c r="AE73">
        <v>27362.8764963266</v>
      </c>
      <c r="AF73">
        <v>3661.7690529626602</v>
      </c>
      <c r="AG73">
        <v>0</v>
      </c>
      <c r="AH73">
        <v>31024.6455492893</v>
      </c>
      <c r="AI73">
        <v>1.86218907989893E-2</v>
      </c>
      <c r="AJ73">
        <v>6.0429691207011901E-2</v>
      </c>
      <c r="AK73">
        <v>0</v>
      </c>
      <c r="AL73">
        <v>7.9051582006001306E-2</v>
      </c>
      <c r="AM73">
        <v>4.3110323352307498</v>
      </c>
      <c r="AN73">
        <v>0.57691320550997205</v>
      </c>
      <c r="AO73">
        <v>0</v>
      </c>
      <c r="AP73">
        <v>4.88794554074072</v>
      </c>
      <c r="AQ73">
        <v>0.40092420237398402</v>
      </c>
      <c r="AR73">
        <v>1.30103468054878</v>
      </c>
      <c r="AS73">
        <v>0</v>
      </c>
      <c r="AT73">
        <v>1.7019588829227601</v>
      </c>
      <c r="AU73">
        <v>0</v>
      </c>
      <c r="AV73">
        <v>0</v>
      </c>
      <c r="AW73">
        <v>0</v>
      </c>
      <c r="AX73">
        <v>1.7019588829227601</v>
      </c>
      <c r="AY73">
        <v>0.45642168553582801</v>
      </c>
      <c r="AZ73">
        <v>1.4811289473682701</v>
      </c>
      <c r="BA73">
        <v>0</v>
      </c>
      <c r="BB73">
        <v>1.9375506329040999</v>
      </c>
      <c r="BC73">
        <v>0</v>
      </c>
      <c r="BD73">
        <v>0</v>
      </c>
      <c r="BE73">
        <v>0</v>
      </c>
      <c r="BF73">
        <v>1.9375506329040999</v>
      </c>
      <c r="BG73">
        <v>3.37734931123626</v>
      </c>
      <c r="BH73">
        <v>19.223853852121799</v>
      </c>
      <c r="BI73">
        <v>0</v>
      </c>
      <c r="BJ73">
        <v>22.601203163358001</v>
      </c>
      <c r="BK73">
        <v>0.25911007771746303</v>
      </c>
      <c r="BL73">
        <v>3.4674763233460797E-2</v>
      </c>
      <c r="BM73">
        <v>0</v>
      </c>
      <c r="BN73">
        <v>0.293784840950924</v>
      </c>
      <c r="BO73">
        <v>4.2207277832800498</v>
      </c>
      <c r="BP73">
        <v>2771.4192971105399</v>
      </c>
    </row>
    <row r="74" spans="1:68" x14ac:dyDescent="0.25">
      <c r="A74" t="s">
        <v>37</v>
      </c>
      <c r="B74">
        <v>2030</v>
      </c>
      <c r="C74" t="s">
        <v>164</v>
      </c>
      <c r="D74">
        <v>2014</v>
      </c>
      <c r="E74" t="s">
        <v>39</v>
      </c>
      <c r="F74" t="s">
        <v>10</v>
      </c>
      <c r="G74">
        <v>1322.2619119210401</v>
      </c>
      <c r="H74">
        <v>21624920.6476367</v>
      </c>
      <c r="I74">
        <v>21624920.6476367</v>
      </c>
      <c r="J74">
        <v>0</v>
      </c>
      <c r="K74">
        <v>5994289.2610264001</v>
      </c>
      <c r="L74">
        <v>0</v>
      </c>
      <c r="M74">
        <v>32.347401036952903</v>
      </c>
      <c r="N74">
        <v>18.573678860303598</v>
      </c>
      <c r="O74">
        <v>24.5195290667553</v>
      </c>
      <c r="P74">
        <v>75.440608964011901</v>
      </c>
      <c r="Q74">
        <v>0.76739223366141496</v>
      </c>
      <c r="R74">
        <v>6.3998651356567196E-3</v>
      </c>
      <c r="S74">
        <v>0</v>
      </c>
      <c r="T74">
        <v>0.773792098797072</v>
      </c>
      <c r="U74">
        <v>0.21453655164959101</v>
      </c>
      <c r="V74">
        <v>0.64844038652939895</v>
      </c>
      <c r="W74">
        <v>1.6367690369760599</v>
      </c>
      <c r="X74">
        <v>0.80209030521498104</v>
      </c>
      <c r="Y74">
        <v>6.6892386381101803E-3</v>
      </c>
      <c r="Z74">
        <v>0</v>
      </c>
      <c r="AA74">
        <v>0.80877954385309103</v>
      </c>
      <c r="AB74">
        <v>0.85814620659836505</v>
      </c>
      <c r="AC74">
        <v>1.85268681865542</v>
      </c>
      <c r="AD74">
        <v>3.5196125691068798</v>
      </c>
      <c r="AE74">
        <v>38263.1776089833</v>
      </c>
      <c r="AF74">
        <v>3850.3130716792198</v>
      </c>
      <c r="AG74">
        <v>0</v>
      </c>
      <c r="AH74">
        <v>42113.4906806625</v>
      </c>
      <c r="AI74">
        <v>1.12863577214854E-2</v>
      </c>
      <c r="AJ74">
        <v>7.3005321766015402E-2</v>
      </c>
      <c r="AK74">
        <v>0</v>
      </c>
      <c r="AL74">
        <v>8.4291679487500798E-2</v>
      </c>
      <c r="AM74">
        <v>6.0283792145591297</v>
      </c>
      <c r="AN74">
        <v>0.60661839244127203</v>
      </c>
      <c r="AO74">
        <v>0</v>
      </c>
      <c r="AP74">
        <v>6.6349976070004004</v>
      </c>
      <c r="AQ74">
        <v>0.242992186778347</v>
      </c>
      <c r="AR74">
        <v>1.5717845579721801</v>
      </c>
      <c r="AS74">
        <v>0</v>
      </c>
      <c r="AT74">
        <v>1.8147767447505301</v>
      </c>
      <c r="AU74">
        <v>0</v>
      </c>
      <c r="AV74">
        <v>0</v>
      </c>
      <c r="AW74">
        <v>0</v>
      </c>
      <c r="AX74">
        <v>1.8147767447505301</v>
      </c>
      <c r="AY74">
        <v>0.27662810776874802</v>
      </c>
      <c r="AZ74">
        <v>1.7893570729852299</v>
      </c>
      <c r="BA74">
        <v>0</v>
      </c>
      <c r="BB74">
        <v>2.0659851807539802</v>
      </c>
      <c r="BC74">
        <v>0</v>
      </c>
      <c r="BD74">
        <v>0</v>
      </c>
      <c r="BE74">
        <v>0</v>
      </c>
      <c r="BF74">
        <v>2.0659851807539802</v>
      </c>
      <c r="BG74">
        <v>1.84593795354081</v>
      </c>
      <c r="BH74">
        <v>23.224405222414202</v>
      </c>
      <c r="BI74">
        <v>0</v>
      </c>
      <c r="BJ74">
        <v>25.070343175954999</v>
      </c>
      <c r="BK74">
        <v>0.36232941099272697</v>
      </c>
      <c r="BL74">
        <v>3.6460162343432599E-2</v>
      </c>
      <c r="BM74">
        <v>0</v>
      </c>
      <c r="BN74">
        <v>0.398789573336159</v>
      </c>
      <c r="BO74">
        <v>5.2442253151012101</v>
      </c>
      <c r="BP74">
        <v>3761.9814400666601</v>
      </c>
    </row>
    <row r="75" spans="1:68" x14ac:dyDescent="0.25">
      <c r="A75" t="s">
        <v>37</v>
      </c>
      <c r="B75">
        <v>2030</v>
      </c>
      <c r="C75" t="s">
        <v>164</v>
      </c>
      <c r="D75">
        <v>2015</v>
      </c>
      <c r="E75" t="s">
        <v>39</v>
      </c>
      <c r="F75" t="s">
        <v>10</v>
      </c>
      <c r="G75">
        <v>1534.16298372488</v>
      </c>
      <c r="H75">
        <v>25848617.164227001</v>
      </c>
      <c r="I75">
        <v>25848617.164227001</v>
      </c>
      <c r="J75">
        <v>0</v>
      </c>
      <c r="K75">
        <v>6954913.1038990598</v>
      </c>
      <c r="L75">
        <v>0</v>
      </c>
      <c r="M75">
        <v>38.528555531149699</v>
      </c>
      <c r="N75">
        <v>21.5502317068728</v>
      </c>
      <c r="O75">
        <v>28.448943082638401</v>
      </c>
      <c r="P75">
        <v>88.527730320660993</v>
      </c>
      <c r="Q75">
        <v>0.91331686303378901</v>
      </c>
      <c r="R75">
        <v>7.4254851504353602E-3</v>
      </c>
      <c r="S75">
        <v>0</v>
      </c>
      <c r="T75">
        <v>0.92074234818422396</v>
      </c>
      <c r="U75">
        <v>0.256439007646935</v>
      </c>
      <c r="V75">
        <v>0.77440664823876904</v>
      </c>
      <c r="W75">
        <v>1.9515880040699201</v>
      </c>
      <c r="X75">
        <v>0.95461299879662098</v>
      </c>
      <c r="Y75">
        <v>7.7612326388357003E-3</v>
      </c>
      <c r="Z75">
        <v>0</v>
      </c>
      <c r="AA75">
        <v>0.96237423143545597</v>
      </c>
      <c r="AB75">
        <v>1.02575603058774</v>
      </c>
      <c r="AC75">
        <v>2.2125904235393401</v>
      </c>
      <c r="AD75">
        <v>4.2007206855625299</v>
      </c>
      <c r="AE75">
        <v>45731.9584539118</v>
      </c>
      <c r="AF75">
        <v>4467.3507850954702</v>
      </c>
      <c r="AG75">
        <v>0</v>
      </c>
      <c r="AH75">
        <v>50199.3092390073</v>
      </c>
      <c r="AI75">
        <v>1.34365094541432E-2</v>
      </c>
      <c r="AJ75">
        <v>8.4704899429208794E-2</v>
      </c>
      <c r="AK75">
        <v>0</v>
      </c>
      <c r="AL75">
        <v>9.8141408883352002E-2</v>
      </c>
      <c r="AM75">
        <v>7.2050886782575603</v>
      </c>
      <c r="AN75">
        <v>0.70383293547191506</v>
      </c>
      <c r="AO75">
        <v>0</v>
      </c>
      <c r="AP75">
        <v>7.9089216137294702</v>
      </c>
      <c r="AQ75">
        <v>0.28928436396400797</v>
      </c>
      <c r="AR75">
        <v>1.8236732567815901</v>
      </c>
      <c r="AS75">
        <v>0</v>
      </c>
      <c r="AT75">
        <v>2.1129576207456</v>
      </c>
      <c r="AU75">
        <v>0</v>
      </c>
      <c r="AV75">
        <v>0</v>
      </c>
      <c r="AW75">
        <v>0</v>
      </c>
      <c r="AX75">
        <v>2.1129576207456</v>
      </c>
      <c r="AY75">
        <v>0.32932822767443998</v>
      </c>
      <c r="AZ75">
        <v>2.0761131824873802</v>
      </c>
      <c r="BA75">
        <v>0</v>
      </c>
      <c r="BB75">
        <v>2.4054414101618198</v>
      </c>
      <c r="BC75">
        <v>0</v>
      </c>
      <c r="BD75">
        <v>0</v>
      </c>
      <c r="BE75">
        <v>0</v>
      </c>
      <c r="BF75">
        <v>2.4054414101618198</v>
      </c>
      <c r="BG75">
        <v>2.1923908743221201</v>
      </c>
      <c r="BH75">
        <v>26.946267218337798</v>
      </c>
      <c r="BI75">
        <v>0</v>
      </c>
      <c r="BJ75">
        <v>29.138658092659998</v>
      </c>
      <c r="BK75">
        <v>0.43305429934442902</v>
      </c>
      <c r="BL75">
        <v>4.2303140507638198E-2</v>
      </c>
      <c r="BM75">
        <v>0</v>
      </c>
      <c r="BN75">
        <v>0.47535743985206802</v>
      </c>
      <c r="BO75">
        <v>6.2685072792538898</v>
      </c>
      <c r="BP75">
        <v>4484.2844088444799</v>
      </c>
    </row>
    <row r="76" spans="1:68" x14ac:dyDescent="0.25">
      <c r="A76" t="s">
        <v>37</v>
      </c>
      <c r="B76">
        <v>2030</v>
      </c>
      <c r="C76" t="s">
        <v>164</v>
      </c>
      <c r="D76">
        <v>2016</v>
      </c>
      <c r="E76" t="s">
        <v>39</v>
      </c>
      <c r="F76" t="s">
        <v>10</v>
      </c>
      <c r="G76">
        <v>2033.49664876424</v>
      </c>
      <c r="H76">
        <v>35302221.009683698</v>
      </c>
      <c r="I76">
        <v>35302221.009683698</v>
      </c>
      <c r="J76">
        <v>0</v>
      </c>
      <c r="K76">
        <v>9218572.3676418494</v>
      </c>
      <c r="L76">
        <v>0</v>
      </c>
      <c r="M76">
        <v>52.3804790216806</v>
      </c>
      <c r="N76">
        <v>28.5643210147202</v>
      </c>
      <c r="O76">
        <v>44.500108970379898</v>
      </c>
      <c r="P76">
        <v>125.44490900677999</v>
      </c>
      <c r="Q76">
        <v>1.23358629820791</v>
      </c>
      <c r="R76">
        <v>9.8423044546397907E-3</v>
      </c>
      <c r="S76">
        <v>0</v>
      </c>
      <c r="T76">
        <v>1.2434286026625501</v>
      </c>
      <c r="U76">
        <v>0.35022633767754202</v>
      </c>
      <c r="V76">
        <v>1.0583437294160201</v>
      </c>
      <c r="W76">
        <v>2.65199866975611</v>
      </c>
      <c r="X76">
        <v>1.2893635966547401</v>
      </c>
      <c r="Y76">
        <v>1.02873297874994E-2</v>
      </c>
      <c r="Z76">
        <v>0</v>
      </c>
      <c r="AA76">
        <v>1.29965092644224</v>
      </c>
      <c r="AB76">
        <v>1.4009053507101601</v>
      </c>
      <c r="AC76">
        <v>3.0238392269029202</v>
      </c>
      <c r="AD76">
        <v>5.72439550405534</v>
      </c>
      <c r="AE76">
        <v>62462.017904906599</v>
      </c>
      <c r="AF76">
        <v>5921.3675122635996</v>
      </c>
      <c r="AG76">
        <v>0</v>
      </c>
      <c r="AH76">
        <v>68383.385417170197</v>
      </c>
      <c r="AI76">
        <v>1.82593103590316E-2</v>
      </c>
      <c r="AJ76">
        <v>0.11227433522414799</v>
      </c>
      <c r="AK76">
        <v>0</v>
      </c>
      <c r="AL76">
        <v>0.13053364558318001</v>
      </c>
      <c r="AM76">
        <v>9.8409163578969299</v>
      </c>
      <c r="AN76">
        <v>0.93291386296978496</v>
      </c>
      <c r="AO76">
        <v>0</v>
      </c>
      <c r="AP76">
        <v>10.773830220866699</v>
      </c>
      <c r="AQ76">
        <v>0.39311794492915197</v>
      </c>
      <c r="AR76">
        <v>2.4172356493065701</v>
      </c>
      <c r="AS76">
        <v>0</v>
      </c>
      <c r="AT76">
        <v>2.8103535942357198</v>
      </c>
      <c r="AU76">
        <v>0</v>
      </c>
      <c r="AV76">
        <v>0</v>
      </c>
      <c r="AW76">
        <v>0</v>
      </c>
      <c r="AX76">
        <v>2.8103535942357198</v>
      </c>
      <c r="AY76">
        <v>0.44753485565726298</v>
      </c>
      <c r="AZ76">
        <v>2.75183878364283</v>
      </c>
      <c r="BA76">
        <v>0</v>
      </c>
      <c r="BB76">
        <v>3.1993736393000902</v>
      </c>
      <c r="BC76">
        <v>0</v>
      </c>
      <c r="BD76">
        <v>0</v>
      </c>
      <c r="BE76">
        <v>0</v>
      </c>
      <c r="BF76">
        <v>3.1993736393000902</v>
      </c>
      <c r="BG76">
        <v>2.9846598627737002</v>
      </c>
      <c r="BH76">
        <v>35.716638105916999</v>
      </c>
      <c r="BI76">
        <v>0</v>
      </c>
      <c r="BJ76">
        <v>38.701297968690703</v>
      </c>
      <c r="BK76">
        <v>0.59147795795163005</v>
      </c>
      <c r="BL76">
        <v>5.6071809427720602E-2</v>
      </c>
      <c r="BM76">
        <v>0</v>
      </c>
      <c r="BN76">
        <v>0.64754976737935099</v>
      </c>
      <c r="BO76">
        <v>8.5610858007246708</v>
      </c>
      <c r="BP76">
        <v>6108.6607305731004</v>
      </c>
    </row>
    <row r="77" spans="1:68" x14ac:dyDescent="0.25">
      <c r="A77" t="s">
        <v>37</v>
      </c>
      <c r="B77">
        <v>2030</v>
      </c>
      <c r="C77" t="s">
        <v>164</v>
      </c>
      <c r="D77">
        <v>2017</v>
      </c>
      <c r="E77" t="s">
        <v>39</v>
      </c>
      <c r="F77" t="s">
        <v>10</v>
      </c>
      <c r="G77">
        <v>1367.2040723520799</v>
      </c>
      <c r="H77">
        <v>24482369.6280987</v>
      </c>
      <c r="I77">
        <v>24482369.6280987</v>
      </c>
      <c r="J77">
        <v>0</v>
      </c>
      <c r="K77">
        <v>6198028.2534380201</v>
      </c>
      <c r="L77">
        <v>0</v>
      </c>
      <c r="M77">
        <v>36.0770123326256</v>
      </c>
      <c r="N77">
        <v>19.204976826015599</v>
      </c>
      <c r="O77">
        <v>29.9192675047621</v>
      </c>
      <c r="P77">
        <v>85.201256663403399</v>
      </c>
      <c r="Q77">
        <v>0.69285429290422296</v>
      </c>
      <c r="R77">
        <v>6.6173891852194799E-3</v>
      </c>
      <c r="S77">
        <v>0</v>
      </c>
      <c r="T77">
        <v>0.69947168208944299</v>
      </c>
      <c r="U77">
        <v>0.242884736633564</v>
      </c>
      <c r="V77">
        <v>0.73390142934819402</v>
      </c>
      <c r="W77">
        <v>1.6762578480712</v>
      </c>
      <c r="X77">
        <v>0.72418208953396201</v>
      </c>
      <c r="Y77">
        <v>6.9165981599454904E-3</v>
      </c>
      <c r="Z77">
        <v>0</v>
      </c>
      <c r="AA77">
        <v>0.73109868769390796</v>
      </c>
      <c r="AB77">
        <v>0.97153894653425898</v>
      </c>
      <c r="AC77">
        <v>2.09686122670912</v>
      </c>
      <c r="AD77">
        <v>3.7994988609372902</v>
      </c>
      <c r="AE77">
        <v>45168.868108910399</v>
      </c>
      <c r="AF77">
        <v>3866.6468666272299</v>
      </c>
      <c r="AG77">
        <v>0</v>
      </c>
      <c r="AH77">
        <v>49035.514975537699</v>
      </c>
      <c r="AI77">
        <v>1.3205836206877901E-2</v>
      </c>
      <c r="AJ77">
        <v>7.5486688621966502E-2</v>
      </c>
      <c r="AK77">
        <v>0</v>
      </c>
      <c r="AL77">
        <v>8.8692524828844405E-2</v>
      </c>
      <c r="AM77">
        <v>7.1163735650901598</v>
      </c>
      <c r="AN77">
        <v>0.60919178848709099</v>
      </c>
      <c r="AO77">
        <v>0</v>
      </c>
      <c r="AP77">
        <v>7.7255653535772497</v>
      </c>
      <c r="AQ77">
        <v>0.28431803220601798</v>
      </c>
      <c r="AR77">
        <v>1.62520770593594</v>
      </c>
      <c r="AS77">
        <v>0</v>
      </c>
      <c r="AT77">
        <v>1.9095257381419599</v>
      </c>
      <c r="AU77">
        <v>0</v>
      </c>
      <c r="AV77">
        <v>0</v>
      </c>
      <c r="AW77">
        <v>0</v>
      </c>
      <c r="AX77">
        <v>1.9095257381419599</v>
      </c>
      <c r="AY77">
        <v>0.32367443701154203</v>
      </c>
      <c r="AZ77">
        <v>1.8501752603031001</v>
      </c>
      <c r="BA77">
        <v>0</v>
      </c>
      <c r="BB77">
        <v>2.1738496973146502</v>
      </c>
      <c r="BC77">
        <v>0</v>
      </c>
      <c r="BD77">
        <v>0</v>
      </c>
      <c r="BE77">
        <v>0</v>
      </c>
      <c r="BF77">
        <v>2.1738496973146502</v>
      </c>
      <c r="BG77">
        <v>1.1653318020277701</v>
      </c>
      <c r="BH77">
        <v>24.013776024076801</v>
      </c>
      <c r="BI77">
        <v>0</v>
      </c>
      <c r="BJ77">
        <v>25.179107826104602</v>
      </c>
      <c r="BK77">
        <v>0.42772217049917299</v>
      </c>
      <c r="BL77">
        <v>3.6614833614158397E-2</v>
      </c>
      <c r="BM77">
        <v>0</v>
      </c>
      <c r="BN77">
        <v>0.46433700411333101</v>
      </c>
      <c r="BO77">
        <v>5.9371807494411</v>
      </c>
      <c r="BP77">
        <v>4380.32312830311</v>
      </c>
    </row>
    <row r="78" spans="1:68" x14ac:dyDescent="0.25">
      <c r="A78" t="s">
        <v>106</v>
      </c>
      <c r="M78" s="75">
        <f>SUM(M70:M77)*453.6*2000/SUM($H$70:$H$77)</f>
        <v>2.0162788296852501</v>
      </c>
      <c r="O78">
        <f t="shared" ref="O78:AM78" si="10">SUM(O70:O77)*453.6*2000/SUM($H$70:$H$77)</f>
        <v>1.0119814821681123</v>
      </c>
      <c r="P78">
        <f t="shared" si="10"/>
        <v>3.7989442929728008</v>
      </c>
      <c r="Q78" s="74">
        <f t="shared" si="10"/>
        <v>3.0988044221130041E-2</v>
      </c>
      <c r="R78" s="74"/>
      <c r="S78" s="74">
        <f t="shared" si="10"/>
        <v>0</v>
      </c>
      <c r="T78" s="74">
        <f t="shared" si="10"/>
        <v>3.1251241750479962E-2</v>
      </c>
      <c r="U78" s="74">
        <f t="shared" si="10"/>
        <v>9.0001513914354393E-3</v>
      </c>
      <c r="V78" s="74">
        <f t="shared" si="10"/>
        <v>2.7192488933199001E-2</v>
      </c>
      <c r="W78" s="74">
        <f t="shared" si="10"/>
        <v>6.7443882075114273E-2</v>
      </c>
      <c r="X78" s="74">
        <f t="shared" si="10"/>
        <v>3.2389186073399835E-2</v>
      </c>
      <c r="Y78" s="74"/>
      <c r="Z78" s="74">
        <f t="shared" si="10"/>
        <v>0</v>
      </c>
      <c r="AA78" s="74">
        <f t="shared" si="10"/>
        <v>3.2664284227105225E-2</v>
      </c>
      <c r="AB78" s="74">
        <f t="shared" si="10"/>
        <v>3.6000605565741743E-2</v>
      </c>
      <c r="AC78" s="74">
        <f t="shared" si="10"/>
        <v>7.7692825523425657E-2</v>
      </c>
      <c r="AD78" s="74">
        <f t="shared" si="10"/>
        <v>0.14635771531627273</v>
      </c>
      <c r="AE78" s="73">
        <f t="shared" si="10"/>
        <v>1580.6930334621061</v>
      </c>
      <c r="AF78" s="74"/>
      <c r="AG78" s="74">
        <f t="shared" si="10"/>
        <v>0</v>
      </c>
      <c r="AH78" s="74">
        <f t="shared" si="10"/>
        <v>1745.8736384493977</v>
      </c>
      <c r="AI78" s="74">
        <f t="shared" si="10"/>
        <v>8.481788643758787E-4</v>
      </c>
      <c r="AJ78" s="74"/>
      <c r="AK78" s="74">
        <f t="shared" si="10"/>
        <v>0</v>
      </c>
      <c r="AL78" s="74">
        <f t="shared" si="10"/>
        <v>3.8498807478560019E-3</v>
      </c>
      <c r="AM78" s="74">
        <f t="shared" si="10"/>
        <v>0.24903883114203768</v>
      </c>
      <c r="AN78" s="74"/>
    </row>
    <row r="79" spans="1:68" x14ac:dyDescent="0.25">
      <c r="A79" t="s">
        <v>283</v>
      </c>
      <c r="N79" s="75">
        <f>SUM(N70:N77)*453.6*2000/SUM($G$70:$G$77)/312</f>
        <v>41.209401344071779</v>
      </c>
      <c r="O79">
        <f t="shared" ref="O79:AN79" si="11">SUM(O70:O77)*453.6*2000/SUM($G$70:$G$77)/312</f>
        <v>54.111869551069795</v>
      </c>
      <c r="P79">
        <f t="shared" si="11"/>
        <v>203.13413005612279</v>
      </c>
      <c r="Q79" s="74"/>
      <c r="R79" s="74">
        <f t="shared" si="11"/>
        <v>1.4073489115466882E-2</v>
      </c>
      <c r="S79" s="74">
        <f t="shared" si="11"/>
        <v>0</v>
      </c>
      <c r="T79" s="74">
        <f t="shared" si="11"/>
        <v>1.6710415622308734</v>
      </c>
      <c r="U79" s="74">
        <f t="shared" si="11"/>
        <v>0.48124894241130972</v>
      </c>
      <c r="V79" s="74">
        <f t="shared" si="11"/>
        <v>1.4540151572434949</v>
      </c>
      <c r="W79" s="74">
        <f t="shared" si="11"/>
        <v>3.6063056618856719</v>
      </c>
      <c r="X79" s="74"/>
      <c r="Y79" s="74">
        <f t="shared" si="11"/>
        <v>1.4709829843085255E-2</v>
      </c>
      <c r="Z79" s="74">
        <f t="shared" si="11"/>
        <v>0</v>
      </c>
      <c r="AA79" s="74">
        <f t="shared" si="11"/>
        <v>1.746598646537842</v>
      </c>
      <c r="AB79" s="74">
        <f t="shared" si="11"/>
        <v>1.924995769645238</v>
      </c>
      <c r="AC79" s="74">
        <f t="shared" si="11"/>
        <v>4.1543290206956973</v>
      </c>
      <c r="AD79" s="74">
        <f t="shared" si="11"/>
        <v>7.8259234368787833</v>
      </c>
      <c r="AE79" s="74"/>
      <c r="AF79" s="73">
        <f t="shared" si="11"/>
        <v>8832.4060340406395</v>
      </c>
      <c r="AG79" s="74">
        <f t="shared" si="11"/>
        <v>0</v>
      </c>
      <c r="AH79" s="74">
        <f t="shared" si="11"/>
        <v>93353.967677376364</v>
      </c>
      <c r="AI79" s="74"/>
      <c r="AJ79" s="74">
        <f t="shared" si="11"/>
        <v>0.16050461753715556</v>
      </c>
      <c r="AK79" s="74">
        <f t="shared" si="11"/>
        <v>0</v>
      </c>
      <c r="AL79" s="74">
        <f t="shared" si="11"/>
        <v>0.20585776369033573</v>
      </c>
      <c r="AM79" s="74"/>
      <c r="AN79" s="74">
        <f t="shared" si="11"/>
        <v>1.3915491675646023</v>
      </c>
    </row>
    <row r="80" spans="1:68" x14ac:dyDescent="0.25">
      <c r="BP80" s="74">
        <f>SUM(H70:H77)/(SUM(BP70:BP77)*1000)</f>
        <v>5.8169432381446065</v>
      </c>
    </row>
    <row r="82" spans="1:68" x14ac:dyDescent="0.25">
      <c r="A82" t="s">
        <v>18</v>
      </c>
      <c r="B82" t="s">
        <v>19</v>
      </c>
      <c r="C82" t="s">
        <v>20</v>
      </c>
      <c r="D82" t="s">
        <v>21</v>
      </c>
      <c r="E82" t="s">
        <v>48</v>
      </c>
      <c r="F82" t="s">
        <v>9</v>
      </c>
      <c r="G82" t="s">
        <v>49</v>
      </c>
      <c r="H82" t="s">
        <v>50</v>
      </c>
      <c r="I82" t="s">
        <v>51</v>
      </c>
      <c r="J82" t="s">
        <v>52</v>
      </c>
      <c r="K82" t="s">
        <v>53</v>
      </c>
      <c r="L82" t="s">
        <v>95</v>
      </c>
      <c r="M82" t="s">
        <v>54</v>
      </c>
      <c r="N82" t="s">
        <v>55</v>
      </c>
      <c r="O82" t="s">
        <v>56</v>
      </c>
      <c r="P82" t="s">
        <v>108</v>
      </c>
      <c r="Q82" t="s">
        <v>57</v>
      </c>
      <c r="R82" t="s">
        <v>58</v>
      </c>
      <c r="S82" t="s">
        <v>59</v>
      </c>
      <c r="T82" t="s">
        <v>109</v>
      </c>
      <c r="U82" t="s">
        <v>60</v>
      </c>
      <c r="V82" t="s">
        <v>61</v>
      </c>
      <c r="W82" t="s">
        <v>110</v>
      </c>
      <c r="X82" t="s">
        <v>62</v>
      </c>
      <c r="Y82" t="s">
        <v>63</v>
      </c>
      <c r="Z82" t="s">
        <v>64</v>
      </c>
      <c r="AA82" t="s">
        <v>111</v>
      </c>
      <c r="AB82" t="s">
        <v>65</v>
      </c>
      <c r="AC82" t="s">
        <v>66</v>
      </c>
      <c r="AD82" t="s">
        <v>112</v>
      </c>
      <c r="AE82" t="s">
        <v>67</v>
      </c>
      <c r="AF82" t="s">
        <v>68</v>
      </c>
      <c r="AG82" t="s">
        <v>69</v>
      </c>
      <c r="AH82" t="s">
        <v>113</v>
      </c>
      <c r="AI82" t="s">
        <v>70</v>
      </c>
      <c r="AJ82" t="s">
        <v>71</v>
      </c>
      <c r="AK82" t="s">
        <v>72</v>
      </c>
      <c r="AL82" t="s">
        <v>114</v>
      </c>
      <c r="AM82" t="s">
        <v>73</v>
      </c>
      <c r="AN82" t="s">
        <v>74</v>
      </c>
      <c r="AO82" t="s">
        <v>75</v>
      </c>
      <c r="AP82" t="s">
        <v>115</v>
      </c>
      <c r="AQ82" t="s">
        <v>76</v>
      </c>
      <c r="AR82" t="s">
        <v>77</v>
      </c>
      <c r="AS82" t="s">
        <v>78</v>
      </c>
      <c r="AT82" t="s">
        <v>116</v>
      </c>
      <c r="AU82" t="s">
        <v>81</v>
      </c>
      <c r="AV82" t="s">
        <v>79</v>
      </c>
      <c r="AW82" t="s">
        <v>80</v>
      </c>
      <c r="AX82" t="s">
        <v>117</v>
      </c>
      <c r="AY82" t="s">
        <v>82</v>
      </c>
      <c r="AZ82" t="s">
        <v>83</v>
      </c>
      <c r="BA82" t="s">
        <v>84</v>
      </c>
      <c r="BB82" t="s">
        <v>118</v>
      </c>
      <c r="BC82" t="s">
        <v>87</v>
      </c>
      <c r="BD82" t="s">
        <v>85</v>
      </c>
      <c r="BE82" t="s">
        <v>86</v>
      </c>
      <c r="BF82" t="s">
        <v>119</v>
      </c>
      <c r="BG82" t="s">
        <v>89</v>
      </c>
      <c r="BH82" t="s">
        <v>90</v>
      </c>
      <c r="BI82" t="s">
        <v>91</v>
      </c>
      <c r="BJ82" t="s">
        <v>120</v>
      </c>
      <c r="BK82" t="s">
        <v>92</v>
      </c>
      <c r="BL82" t="s">
        <v>93</v>
      </c>
      <c r="BM82" t="s">
        <v>94</v>
      </c>
      <c r="BN82" t="s">
        <v>121</v>
      </c>
      <c r="BO82" t="s">
        <v>88</v>
      </c>
      <c r="BP82" t="s">
        <v>33</v>
      </c>
    </row>
    <row r="83" spans="1:68" x14ac:dyDescent="0.25">
      <c r="A83" t="s">
        <v>37</v>
      </c>
      <c r="B83">
        <v>2025</v>
      </c>
      <c r="C83" t="s">
        <v>318</v>
      </c>
      <c r="D83">
        <v>2011</v>
      </c>
      <c r="E83" t="s">
        <v>39</v>
      </c>
      <c r="F83" t="s">
        <v>10</v>
      </c>
      <c r="G83">
        <v>114.05553439722701</v>
      </c>
      <c r="H83">
        <v>1047416.96598412</v>
      </c>
      <c r="I83">
        <v>1047416.96598412</v>
      </c>
      <c r="J83">
        <v>0</v>
      </c>
      <c r="K83">
        <v>507802.612464712</v>
      </c>
      <c r="L83">
        <v>0</v>
      </c>
      <c r="M83">
        <v>2.38909947536628</v>
      </c>
      <c r="N83">
        <v>0.43848686609856202</v>
      </c>
      <c r="O83">
        <v>0.894473174279655</v>
      </c>
      <c r="P83">
        <v>3.7220595157444998</v>
      </c>
      <c r="Q83">
        <v>1.9163827239688201E-2</v>
      </c>
      <c r="R83">
        <v>9.0226643863948905E-5</v>
      </c>
      <c r="S83">
        <v>0</v>
      </c>
      <c r="T83">
        <v>1.92540538835522E-2</v>
      </c>
      <c r="U83">
        <v>3.4637387067736202E-3</v>
      </c>
      <c r="V83">
        <v>1.7516565589965699E-2</v>
      </c>
      <c r="W83">
        <v>4.0234358180291502E-2</v>
      </c>
      <c r="X83">
        <v>2.0030330469243001E-2</v>
      </c>
      <c r="Y83">
        <v>9.4306292324674302E-5</v>
      </c>
      <c r="Z83">
        <v>0</v>
      </c>
      <c r="AA83">
        <v>2.0124636761567699E-2</v>
      </c>
      <c r="AB83">
        <v>1.3854954827094401E-2</v>
      </c>
      <c r="AC83">
        <v>5.00473302570449E-2</v>
      </c>
      <c r="AD83">
        <v>8.4026921845707106E-2</v>
      </c>
      <c r="AE83">
        <v>1128.4118082754101</v>
      </c>
      <c r="AF83">
        <v>89.7354300772041</v>
      </c>
      <c r="AG83">
        <v>0</v>
      </c>
      <c r="AH83">
        <v>1218.14723835262</v>
      </c>
      <c r="AI83">
        <v>2.1752001558857101E-3</v>
      </c>
      <c r="AJ83">
        <v>3.2936091458702201E-4</v>
      </c>
      <c r="AK83">
        <v>0</v>
      </c>
      <c r="AL83">
        <v>2.5045610704727298E-3</v>
      </c>
      <c r="AM83">
        <v>0.17778173992725399</v>
      </c>
      <c r="AN83">
        <v>1.41378535524435E-2</v>
      </c>
      <c r="AO83">
        <v>0</v>
      </c>
      <c r="AP83">
        <v>0.191919593479697</v>
      </c>
      <c r="AQ83">
        <v>4.6831462868935601E-2</v>
      </c>
      <c r="AR83">
        <v>7.0910501731185297E-3</v>
      </c>
      <c r="AS83">
        <v>0</v>
      </c>
      <c r="AT83">
        <v>5.3922513042054199E-2</v>
      </c>
      <c r="AU83">
        <v>0</v>
      </c>
      <c r="AV83">
        <v>0</v>
      </c>
      <c r="AW83">
        <v>0</v>
      </c>
      <c r="AX83">
        <v>5.3922513042054199E-2</v>
      </c>
      <c r="AY83">
        <v>5.3314055604978303E-2</v>
      </c>
      <c r="AZ83">
        <v>8.0726208422180895E-3</v>
      </c>
      <c r="BA83">
        <v>0</v>
      </c>
      <c r="BB83">
        <v>6.1386676447196399E-2</v>
      </c>
      <c r="BC83">
        <v>0</v>
      </c>
      <c r="BD83">
        <v>0</v>
      </c>
      <c r="BE83">
        <v>0</v>
      </c>
      <c r="BF83">
        <v>6.1386676447196399E-2</v>
      </c>
      <c r="BG83">
        <v>0.14050146630126201</v>
      </c>
      <c r="BH83">
        <v>0.23939146274932099</v>
      </c>
      <c r="BI83">
        <v>0</v>
      </c>
      <c r="BJ83">
        <v>0.37989292905058403</v>
      </c>
      <c r="BK83">
        <v>1.0685385046370999E-2</v>
      </c>
      <c r="BL83">
        <v>8.4974086201922996E-4</v>
      </c>
      <c r="BM83">
        <v>0</v>
      </c>
      <c r="BN83">
        <v>1.15351259083902E-2</v>
      </c>
      <c r="BO83">
        <v>0.25400743235008</v>
      </c>
      <c r="BP83">
        <v>108.816610256799</v>
      </c>
    </row>
    <row r="84" spans="1:68" x14ac:dyDescent="0.25">
      <c r="A84" t="s">
        <v>37</v>
      </c>
      <c r="B84">
        <v>2025</v>
      </c>
      <c r="C84" t="s">
        <v>318</v>
      </c>
      <c r="D84">
        <v>2012</v>
      </c>
      <c r="E84" t="s">
        <v>39</v>
      </c>
      <c r="F84" t="s">
        <v>10</v>
      </c>
      <c r="G84">
        <v>651.23496846435796</v>
      </c>
      <c r="H84">
        <v>6071237.6306810901</v>
      </c>
      <c r="I84">
        <v>6071237.6306810901</v>
      </c>
      <c r="J84">
        <v>0</v>
      </c>
      <c r="K84">
        <v>2899454.3759957501</v>
      </c>
      <c r="L84">
        <v>0</v>
      </c>
      <c r="M84">
        <v>10.8548050689548</v>
      </c>
      <c r="N84">
        <v>2.15727110471494</v>
      </c>
      <c r="O84">
        <v>6.27386328897067</v>
      </c>
      <c r="P84">
        <v>19.2859394626404</v>
      </c>
      <c r="Q84">
        <v>5.3003192264315102E-2</v>
      </c>
      <c r="R84">
        <v>5.1517662761320403E-4</v>
      </c>
      <c r="S84">
        <v>0</v>
      </c>
      <c r="T84">
        <v>5.3518368891928299E-2</v>
      </c>
      <c r="U84">
        <v>2.0077181735979301E-2</v>
      </c>
      <c r="V84">
        <v>0.10168489446033099</v>
      </c>
      <c r="W84">
        <v>0.17528044508823901</v>
      </c>
      <c r="X84">
        <v>5.5399761420325197E-2</v>
      </c>
      <c r="Y84">
        <v>5.3847062865144599E-4</v>
      </c>
      <c r="Z84">
        <v>0</v>
      </c>
      <c r="AA84">
        <v>5.5938232048976598E-2</v>
      </c>
      <c r="AB84">
        <v>8.0308726943917205E-2</v>
      </c>
      <c r="AC84">
        <v>0.29052826988666097</v>
      </c>
      <c r="AD84">
        <v>0.42677522887955499</v>
      </c>
      <c r="AE84">
        <v>6465.3556576998299</v>
      </c>
      <c r="AF84">
        <v>492.78802242741102</v>
      </c>
      <c r="AG84">
        <v>0</v>
      </c>
      <c r="AH84">
        <v>6958.1436801272403</v>
      </c>
      <c r="AI84">
        <v>2.5517974661689001E-3</v>
      </c>
      <c r="AJ84">
        <v>1.73106284937465E-3</v>
      </c>
      <c r="AK84">
        <v>0</v>
      </c>
      <c r="AL84">
        <v>4.2828603155435499E-3</v>
      </c>
      <c r="AM84">
        <v>1.0186194168165299</v>
      </c>
      <c r="AN84">
        <v>7.7638953616012502E-2</v>
      </c>
      <c r="AO84">
        <v>0</v>
      </c>
      <c r="AP84">
        <v>1.0962583704325399</v>
      </c>
      <c r="AQ84">
        <v>5.49394996881436E-2</v>
      </c>
      <c r="AR84">
        <v>3.7269308451880402E-2</v>
      </c>
      <c r="AS84">
        <v>0</v>
      </c>
      <c r="AT84">
        <v>9.2208808140024107E-2</v>
      </c>
      <c r="AU84">
        <v>0</v>
      </c>
      <c r="AV84">
        <v>0</v>
      </c>
      <c r="AW84">
        <v>0</v>
      </c>
      <c r="AX84">
        <v>9.2208808140024107E-2</v>
      </c>
      <c r="AY84">
        <v>6.2544438329435098E-2</v>
      </c>
      <c r="AZ84">
        <v>4.2428270684677902E-2</v>
      </c>
      <c r="BA84">
        <v>0</v>
      </c>
      <c r="BB84">
        <v>0.104972709014113</v>
      </c>
      <c r="BC84">
        <v>0</v>
      </c>
      <c r="BD84">
        <v>0</v>
      </c>
      <c r="BE84">
        <v>0</v>
      </c>
      <c r="BF84">
        <v>0.104972709014113</v>
      </c>
      <c r="BG84">
        <v>0.53149820546333204</v>
      </c>
      <c r="BH84">
        <v>1.5781631457921701</v>
      </c>
      <c r="BI84">
        <v>0</v>
      </c>
      <c r="BJ84">
        <v>2.1096613512554998</v>
      </c>
      <c r="BK84">
        <v>6.1223051866003103E-2</v>
      </c>
      <c r="BL84">
        <v>4.6664078905060604E-3</v>
      </c>
      <c r="BM84">
        <v>0</v>
      </c>
      <c r="BN84">
        <v>6.58894597565092E-2</v>
      </c>
      <c r="BO84">
        <v>1.4723262385840099</v>
      </c>
      <c r="BP84">
        <v>621.56821861302899</v>
      </c>
    </row>
    <row r="85" spans="1:68" x14ac:dyDescent="0.25">
      <c r="A85" t="s">
        <v>37</v>
      </c>
      <c r="B85">
        <v>2025</v>
      </c>
      <c r="C85" t="s">
        <v>318</v>
      </c>
      <c r="D85">
        <v>2013</v>
      </c>
      <c r="E85" t="s">
        <v>39</v>
      </c>
      <c r="F85" t="s">
        <v>10</v>
      </c>
      <c r="G85">
        <v>597.98107823447299</v>
      </c>
      <c r="H85">
        <v>5675228.3044421496</v>
      </c>
      <c r="I85">
        <v>5675228.3044421496</v>
      </c>
      <c r="J85">
        <v>0</v>
      </c>
      <c r="K85">
        <v>2662355.2757586502</v>
      </c>
      <c r="L85">
        <v>0</v>
      </c>
      <c r="M85">
        <v>9.61313854746553</v>
      </c>
      <c r="N85">
        <v>1.9808630735592301</v>
      </c>
      <c r="O85">
        <v>4.14431261362044</v>
      </c>
      <c r="P85">
        <v>15.7383142346452</v>
      </c>
      <c r="Q85">
        <v>4.7645817761042902E-2</v>
      </c>
      <c r="R85">
        <v>4.73048730764239E-4</v>
      </c>
      <c r="S85">
        <v>0</v>
      </c>
      <c r="T85">
        <v>4.8118866491807202E-2</v>
      </c>
      <c r="U85">
        <v>1.8767605057270601E-2</v>
      </c>
      <c r="V85">
        <v>9.4988003006413996E-2</v>
      </c>
      <c r="W85">
        <v>0.161874474555491</v>
      </c>
      <c r="X85">
        <v>4.9800150215012301E-2</v>
      </c>
      <c r="Y85">
        <v>4.9443789524674395E-4</v>
      </c>
      <c r="Z85">
        <v>0</v>
      </c>
      <c r="AA85">
        <v>5.0294588110258998E-2</v>
      </c>
      <c r="AB85">
        <v>7.5070420229082696E-2</v>
      </c>
      <c r="AC85">
        <v>0.27139429430404</v>
      </c>
      <c r="AD85">
        <v>0.39675930264338199</v>
      </c>
      <c r="AE85">
        <v>5482.7441946809304</v>
      </c>
      <c r="AF85">
        <v>452.49092456913098</v>
      </c>
      <c r="AG85">
        <v>0</v>
      </c>
      <c r="AH85">
        <v>5935.2351192500601</v>
      </c>
      <c r="AI85">
        <v>2.3291740390086798E-3</v>
      </c>
      <c r="AJ85">
        <v>1.5895074424545101E-3</v>
      </c>
      <c r="AK85">
        <v>0</v>
      </c>
      <c r="AL85">
        <v>3.9186814814632003E-3</v>
      </c>
      <c r="AM85">
        <v>0.86380858066004895</v>
      </c>
      <c r="AN85">
        <v>7.1290129437884694E-2</v>
      </c>
      <c r="AO85">
        <v>0</v>
      </c>
      <c r="AP85">
        <v>0.93509871009793399</v>
      </c>
      <c r="AQ85">
        <v>5.01464783495792E-2</v>
      </c>
      <c r="AR85">
        <v>3.4221659358467098E-2</v>
      </c>
      <c r="AS85">
        <v>0</v>
      </c>
      <c r="AT85">
        <v>8.4368137708046395E-2</v>
      </c>
      <c r="AU85">
        <v>0</v>
      </c>
      <c r="AV85">
        <v>0</v>
      </c>
      <c r="AW85">
        <v>0</v>
      </c>
      <c r="AX85">
        <v>8.4368137708046395E-2</v>
      </c>
      <c r="AY85">
        <v>5.7087948386440601E-2</v>
      </c>
      <c r="AZ85">
        <v>3.8958754182803298E-2</v>
      </c>
      <c r="BA85">
        <v>0</v>
      </c>
      <c r="BB85">
        <v>9.6046702569243997E-2</v>
      </c>
      <c r="BC85">
        <v>0</v>
      </c>
      <c r="BD85">
        <v>0</v>
      </c>
      <c r="BE85">
        <v>0</v>
      </c>
      <c r="BF85">
        <v>9.6046702569243997E-2</v>
      </c>
      <c r="BG85">
        <v>0.483248863464939</v>
      </c>
      <c r="BH85">
        <v>1.4491109127264099</v>
      </c>
      <c r="BI85">
        <v>0</v>
      </c>
      <c r="BJ85">
        <v>1.93235977619135</v>
      </c>
      <c r="BK85">
        <v>5.1918308902189403E-2</v>
      </c>
      <c r="BL85">
        <v>4.2848184710146996E-3</v>
      </c>
      <c r="BM85">
        <v>0</v>
      </c>
      <c r="BN85">
        <v>5.6203127373204098E-2</v>
      </c>
      <c r="BO85">
        <v>1.3762906430080599</v>
      </c>
      <c r="BP85">
        <v>530.19220207512103</v>
      </c>
    </row>
    <row r="86" spans="1:68" x14ac:dyDescent="0.25">
      <c r="A86" t="s">
        <v>37</v>
      </c>
      <c r="B86">
        <v>2025</v>
      </c>
      <c r="C86" t="s">
        <v>318</v>
      </c>
      <c r="D86">
        <v>2014</v>
      </c>
      <c r="E86" t="s">
        <v>39</v>
      </c>
      <c r="F86" t="s">
        <v>10</v>
      </c>
      <c r="G86">
        <v>508.29992796130699</v>
      </c>
      <c r="H86">
        <v>4924171.9288178096</v>
      </c>
      <c r="I86">
        <v>4924171.9288178096</v>
      </c>
      <c r="J86">
        <v>0</v>
      </c>
      <c r="K86">
        <v>2263073.2712664502</v>
      </c>
      <c r="L86">
        <v>0</v>
      </c>
      <c r="M86">
        <v>1.4553319119638499</v>
      </c>
      <c r="N86">
        <v>1.6837866518521301</v>
      </c>
      <c r="O86">
        <v>3.5227766891419399</v>
      </c>
      <c r="P86">
        <v>6.6618952529579198</v>
      </c>
      <c r="Q86">
        <v>1.97429606849009E-2</v>
      </c>
      <c r="R86">
        <v>4.02104087439641E-4</v>
      </c>
      <c r="S86">
        <v>0</v>
      </c>
      <c r="T86">
        <v>2.0145064772340598E-2</v>
      </c>
      <c r="U86">
        <v>1.6283911243150099E-2</v>
      </c>
      <c r="V86">
        <v>8.2317523914700194E-2</v>
      </c>
      <c r="W86">
        <v>0.118746499930191</v>
      </c>
      <c r="X86">
        <v>2.0635649758981599E-2</v>
      </c>
      <c r="Y86">
        <v>4.2028544996320001E-4</v>
      </c>
      <c r="Z86">
        <v>0</v>
      </c>
      <c r="AA86">
        <v>2.10559352089448E-2</v>
      </c>
      <c r="AB86">
        <v>6.5135644972600701E-2</v>
      </c>
      <c r="AC86">
        <v>0.235192925470572</v>
      </c>
      <c r="AD86">
        <v>0.32138450565211701</v>
      </c>
      <c r="AE86">
        <v>6345.5489010033798</v>
      </c>
      <c r="AF86">
        <v>364.19742980768802</v>
      </c>
      <c r="AG86">
        <v>0</v>
      </c>
      <c r="AH86">
        <v>6709.74633081106</v>
      </c>
      <c r="AI86">
        <v>1.2669003074696299E-3</v>
      </c>
      <c r="AJ86">
        <v>1.3511238865266801E-3</v>
      </c>
      <c r="AK86">
        <v>0</v>
      </c>
      <c r="AL86">
        <v>2.6180241939963099E-3</v>
      </c>
      <c r="AM86">
        <v>0.99974381350900399</v>
      </c>
      <c r="AN86">
        <v>5.7379453381651901E-2</v>
      </c>
      <c r="AO86">
        <v>0</v>
      </c>
      <c r="AP86">
        <v>1.0571232668906501</v>
      </c>
      <c r="AQ86">
        <v>2.7276016208149099E-2</v>
      </c>
      <c r="AR86">
        <v>2.90893267693066E-2</v>
      </c>
      <c r="AS86">
        <v>0</v>
      </c>
      <c r="AT86">
        <v>5.6365342977455803E-2</v>
      </c>
      <c r="AU86">
        <v>0</v>
      </c>
      <c r="AV86">
        <v>0</v>
      </c>
      <c r="AW86">
        <v>0</v>
      </c>
      <c r="AX86">
        <v>5.6365342977455803E-2</v>
      </c>
      <c r="AY86">
        <v>3.1051668167473599E-2</v>
      </c>
      <c r="AZ86">
        <v>3.3115984209814701E-2</v>
      </c>
      <c r="BA86">
        <v>0</v>
      </c>
      <c r="BB86">
        <v>6.4167652377288401E-2</v>
      </c>
      <c r="BC86">
        <v>0</v>
      </c>
      <c r="BD86">
        <v>0</v>
      </c>
      <c r="BE86">
        <v>0</v>
      </c>
      <c r="BF86">
        <v>6.4167652377288401E-2</v>
      </c>
      <c r="BG86">
        <v>0.207332287392447</v>
      </c>
      <c r="BH86">
        <v>1.23178307701894</v>
      </c>
      <c r="BI86">
        <v>0</v>
      </c>
      <c r="BJ86">
        <v>1.4391153644113901</v>
      </c>
      <c r="BK86">
        <v>6.0088553523226097E-2</v>
      </c>
      <c r="BL86">
        <v>3.4487318741740799E-3</v>
      </c>
      <c r="BM86">
        <v>0</v>
      </c>
      <c r="BN86">
        <v>6.3537285397400195E-2</v>
      </c>
      <c r="BO86">
        <v>1.19415314885047</v>
      </c>
      <c r="BP86">
        <v>599.37898179637398</v>
      </c>
    </row>
    <row r="87" spans="1:68" x14ac:dyDescent="0.25">
      <c r="A87" t="s">
        <v>37</v>
      </c>
      <c r="B87">
        <v>2025</v>
      </c>
      <c r="C87" t="s">
        <v>318</v>
      </c>
      <c r="D87">
        <v>2015</v>
      </c>
      <c r="E87" t="s">
        <v>39</v>
      </c>
      <c r="F87" t="s">
        <v>10</v>
      </c>
      <c r="G87">
        <v>909.17504312236395</v>
      </c>
      <c r="H87">
        <v>9012671.8468654491</v>
      </c>
      <c r="I87">
        <v>9012671.8468654491</v>
      </c>
      <c r="J87">
        <v>0</v>
      </c>
      <c r="K87">
        <v>4047865.49399111</v>
      </c>
      <c r="L87">
        <v>0</v>
      </c>
      <c r="M87">
        <v>2.6140128514811498</v>
      </c>
      <c r="N87">
        <v>3.0117194939343599</v>
      </c>
      <c r="O87">
        <v>6.3010448596893101</v>
      </c>
      <c r="P87">
        <v>11.9267772051048</v>
      </c>
      <c r="Q87">
        <v>3.57162853811335E-2</v>
      </c>
      <c r="R87">
        <v>7.1922693852012295E-4</v>
      </c>
      <c r="S87">
        <v>0</v>
      </c>
      <c r="T87">
        <v>3.6435512319653598E-2</v>
      </c>
      <c r="U87">
        <v>2.9804310357056898E-2</v>
      </c>
      <c r="V87">
        <v>0.150550198284152</v>
      </c>
      <c r="W87">
        <v>0.216790020960863</v>
      </c>
      <c r="X87">
        <v>3.7331217317399301E-2</v>
      </c>
      <c r="Y87">
        <v>7.5174718915773102E-4</v>
      </c>
      <c r="Z87">
        <v>0</v>
      </c>
      <c r="AA87">
        <v>3.8082964506557002E-2</v>
      </c>
      <c r="AB87">
        <v>0.119217241428227</v>
      </c>
      <c r="AC87">
        <v>0.43014342366900699</v>
      </c>
      <c r="AD87">
        <v>0.58744362960379104</v>
      </c>
      <c r="AE87">
        <v>11609.948046069299</v>
      </c>
      <c r="AF87">
        <v>651.42486893222599</v>
      </c>
      <c r="AG87">
        <v>0</v>
      </c>
      <c r="AH87">
        <v>12261.372915001501</v>
      </c>
      <c r="AI87">
        <v>2.27090096073207E-3</v>
      </c>
      <c r="AJ87">
        <v>2.4166993741735099E-3</v>
      </c>
      <c r="AK87">
        <v>0</v>
      </c>
      <c r="AL87">
        <v>4.6876003349055799E-3</v>
      </c>
      <c r="AM87">
        <v>1.8291520426835499</v>
      </c>
      <c r="AN87">
        <v>0.10263225338598</v>
      </c>
      <c r="AO87">
        <v>0</v>
      </c>
      <c r="AP87">
        <v>1.9317842960695299</v>
      </c>
      <c r="AQ87">
        <v>4.8891874954031703E-2</v>
      </c>
      <c r="AR87">
        <v>5.2030874814323801E-2</v>
      </c>
      <c r="AS87">
        <v>0</v>
      </c>
      <c r="AT87">
        <v>0.100922749768355</v>
      </c>
      <c r="AU87">
        <v>0</v>
      </c>
      <c r="AV87">
        <v>0</v>
      </c>
      <c r="AW87">
        <v>0</v>
      </c>
      <c r="AX87">
        <v>0.100922749768355</v>
      </c>
      <c r="AY87">
        <v>5.5659677922636999E-2</v>
      </c>
      <c r="AZ87">
        <v>5.9233190318865002E-2</v>
      </c>
      <c r="BA87">
        <v>0</v>
      </c>
      <c r="BB87">
        <v>0.11489286824150199</v>
      </c>
      <c r="BC87">
        <v>0</v>
      </c>
      <c r="BD87">
        <v>0</v>
      </c>
      <c r="BE87">
        <v>0</v>
      </c>
      <c r="BF87">
        <v>0.11489286824150199</v>
      </c>
      <c r="BG87">
        <v>0.370657923619924</v>
      </c>
      <c r="BH87">
        <v>2.2032394076029198</v>
      </c>
      <c r="BI87">
        <v>0</v>
      </c>
      <c r="BJ87">
        <v>2.5738973312228501</v>
      </c>
      <c r="BK87">
        <v>0.10993926537352799</v>
      </c>
      <c r="BL87">
        <v>6.1686039637965998E-3</v>
      </c>
      <c r="BM87">
        <v>0</v>
      </c>
      <c r="BN87">
        <v>0.116107869337324</v>
      </c>
      <c r="BO87">
        <v>2.1856487996499001</v>
      </c>
      <c r="BP87">
        <v>1095.3035853936501</v>
      </c>
    </row>
    <row r="88" spans="1:68" x14ac:dyDescent="0.25">
      <c r="A88" t="s">
        <v>37</v>
      </c>
      <c r="B88">
        <v>2025</v>
      </c>
      <c r="C88" t="s">
        <v>318</v>
      </c>
      <c r="D88">
        <v>2016</v>
      </c>
      <c r="E88" t="s">
        <v>39</v>
      </c>
      <c r="F88" t="s">
        <v>10</v>
      </c>
      <c r="G88">
        <v>974.20293340400201</v>
      </c>
      <c r="H88">
        <v>9904507.0934229903</v>
      </c>
      <c r="I88">
        <v>9904507.0934229903</v>
      </c>
      <c r="J88">
        <v>0</v>
      </c>
      <c r="K88">
        <v>4337385.26821863</v>
      </c>
      <c r="L88">
        <v>0</v>
      </c>
      <c r="M88">
        <v>2.83907649674105</v>
      </c>
      <c r="N88">
        <v>3.2271298995457398</v>
      </c>
      <c r="O88">
        <v>7.8305388782730496</v>
      </c>
      <c r="P88">
        <v>13.8967452745598</v>
      </c>
      <c r="Q88">
        <v>3.8518220428315597E-2</v>
      </c>
      <c r="R88">
        <v>7.7066896918243305E-4</v>
      </c>
      <c r="S88">
        <v>0</v>
      </c>
      <c r="T88">
        <v>3.9288889397498E-2</v>
      </c>
      <c r="U88">
        <v>3.2753550596511201E-2</v>
      </c>
      <c r="V88">
        <v>0.16554315796774</v>
      </c>
      <c r="W88">
        <v>0.23758559796174999</v>
      </c>
      <c r="X88">
        <v>4.0259843434012302E-2</v>
      </c>
      <c r="Y88">
        <v>8.0551520017596101E-4</v>
      </c>
      <c r="Z88">
        <v>0</v>
      </c>
      <c r="AA88">
        <v>4.1065358634188302E-2</v>
      </c>
      <c r="AB88">
        <v>0.131014202386044</v>
      </c>
      <c r="AC88">
        <v>0.47298045133640199</v>
      </c>
      <c r="AD88">
        <v>0.64506001235663502</v>
      </c>
      <c r="AE88">
        <v>12765.961128664399</v>
      </c>
      <c r="AF88">
        <v>698.01742030516903</v>
      </c>
      <c r="AG88">
        <v>0</v>
      </c>
      <c r="AH88">
        <v>13463.978548969601</v>
      </c>
      <c r="AI88">
        <v>2.44244128709095E-3</v>
      </c>
      <c r="AJ88">
        <v>2.5895515250726701E-3</v>
      </c>
      <c r="AK88">
        <v>0</v>
      </c>
      <c r="AL88">
        <v>5.0319928121636296E-3</v>
      </c>
      <c r="AM88">
        <v>2.0112823746202002</v>
      </c>
      <c r="AN88">
        <v>0.109972928829098</v>
      </c>
      <c r="AO88">
        <v>0</v>
      </c>
      <c r="AP88">
        <v>2.1212553034493</v>
      </c>
      <c r="AQ88">
        <v>5.2585091140442797E-2</v>
      </c>
      <c r="AR88">
        <v>5.5752334223356202E-2</v>
      </c>
      <c r="AS88">
        <v>0</v>
      </c>
      <c r="AT88">
        <v>0.10833742536379901</v>
      </c>
      <c r="AU88">
        <v>0</v>
      </c>
      <c r="AV88">
        <v>0</v>
      </c>
      <c r="AW88">
        <v>0</v>
      </c>
      <c r="AX88">
        <v>0.10833742536379901</v>
      </c>
      <c r="AY88">
        <v>5.9864123418490602E-2</v>
      </c>
      <c r="AZ88">
        <v>6.3469788573762301E-2</v>
      </c>
      <c r="BA88">
        <v>0</v>
      </c>
      <c r="BB88">
        <v>0.12333391199225199</v>
      </c>
      <c r="BC88">
        <v>0</v>
      </c>
      <c r="BD88">
        <v>0</v>
      </c>
      <c r="BE88">
        <v>0</v>
      </c>
      <c r="BF88">
        <v>0.12333391199225199</v>
      </c>
      <c r="BG88">
        <v>0.39895840610907801</v>
      </c>
      <c r="BH88">
        <v>2.3608240350579601</v>
      </c>
      <c r="BI88">
        <v>0</v>
      </c>
      <c r="BJ88">
        <v>2.7597824411670402</v>
      </c>
      <c r="BK88">
        <v>0.120886017982445</v>
      </c>
      <c r="BL88">
        <v>6.6098075634590404E-3</v>
      </c>
      <c r="BM88">
        <v>0</v>
      </c>
      <c r="BN88">
        <v>0.127495825545904</v>
      </c>
      <c r="BO88">
        <v>2.4019263552120602</v>
      </c>
      <c r="BP88">
        <v>1202.7318702872799</v>
      </c>
    </row>
    <row r="89" spans="1:68" x14ac:dyDescent="0.25">
      <c r="A89" t="s">
        <v>37</v>
      </c>
      <c r="B89">
        <v>2025</v>
      </c>
      <c r="C89" t="s">
        <v>318</v>
      </c>
      <c r="D89">
        <v>2017</v>
      </c>
      <c r="E89" t="s">
        <v>39</v>
      </c>
      <c r="F89" t="s">
        <v>10</v>
      </c>
      <c r="G89">
        <v>657.94110301097396</v>
      </c>
      <c r="H89">
        <v>6875253.5260381</v>
      </c>
      <c r="I89">
        <v>6875253.5260381</v>
      </c>
      <c r="J89">
        <v>0</v>
      </c>
      <c r="K89">
        <v>2929311.69646957</v>
      </c>
      <c r="L89">
        <v>0</v>
      </c>
      <c r="M89">
        <v>1.92890002407392</v>
      </c>
      <c r="N89">
        <v>2.17948574456438</v>
      </c>
      <c r="O89">
        <v>5.2884601452998803</v>
      </c>
      <c r="P89">
        <v>9.3968459139382006</v>
      </c>
      <c r="Q89">
        <v>2.6227961554673999E-2</v>
      </c>
      <c r="R89">
        <v>5.2048169252426801E-4</v>
      </c>
      <c r="S89">
        <v>0</v>
      </c>
      <c r="T89">
        <v>2.67484432471983E-2</v>
      </c>
      <c r="U89">
        <v>2.27360091829776E-2</v>
      </c>
      <c r="V89">
        <v>0.114868538004785</v>
      </c>
      <c r="W89">
        <v>0.16435299043496099</v>
      </c>
      <c r="X89">
        <v>2.7413873591320699E-2</v>
      </c>
      <c r="Y89">
        <v>5.4401556505691197E-4</v>
      </c>
      <c r="Z89">
        <v>0</v>
      </c>
      <c r="AA89">
        <v>2.7957889156377601E-2</v>
      </c>
      <c r="AB89">
        <v>9.0944036731910399E-2</v>
      </c>
      <c r="AC89">
        <v>0.328195822870815</v>
      </c>
      <c r="AD89">
        <v>0.44709774875910302</v>
      </c>
      <c r="AE89">
        <v>8523.9351596156794</v>
      </c>
      <c r="AF89">
        <v>453.59259326820097</v>
      </c>
      <c r="AG89">
        <v>0</v>
      </c>
      <c r="AH89">
        <v>8977.5277528838797</v>
      </c>
      <c r="AI89">
        <v>1.6509363145921501E-3</v>
      </c>
      <c r="AJ89">
        <v>1.7488885819270199E-3</v>
      </c>
      <c r="AK89">
        <v>0</v>
      </c>
      <c r="AL89">
        <v>3.3998248965191702E-3</v>
      </c>
      <c r="AM89">
        <v>1.3429494556775301</v>
      </c>
      <c r="AN89">
        <v>7.1463697790065894E-2</v>
      </c>
      <c r="AO89">
        <v>0</v>
      </c>
      <c r="AP89">
        <v>1.4144131534676001</v>
      </c>
      <c r="AQ89">
        <v>3.55442061304551E-2</v>
      </c>
      <c r="AR89">
        <v>3.7653091585528597E-2</v>
      </c>
      <c r="AS89">
        <v>0</v>
      </c>
      <c r="AT89">
        <v>7.3197297715983795E-2</v>
      </c>
      <c r="AU89">
        <v>0</v>
      </c>
      <c r="AV89">
        <v>0</v>
      </c>
      <c r="AW89">
        <v>0</v>
      </c>
      <c r="AX89">
        <v>7.3197297715983795E-2</v>
      </c>
      <c r="AY89">
        <v>4.0464373008746897E-2</v>
      </c>
      <c r="AZ89">
        <v>4.2865178568269602E-2</v>
      </c>
      <c r="BA89">
        <v>0</v>
      </c>
      <c r="BB89">
        <v>8.3329551577016603E-2</v>
      </c>
      <c r="BC89">
        <v>0</v>
      </c>
      <c r="BD89">
        <v>0</v>
      </c>
      <c r="BE89">
        <v>0</v>
      </c>
      <c r="BF89">
        <v>8.3329551577016603E-2</v>
      </c>
      <c r="BG89">
        <v>0.26950204017664597</v>
      </c>
      <c r="BH89">
        <v>1.5944143836782201</v>
      </c>
      <c r="BI89">
        <v>0</v>
      </c>
      <c r="BJ89">
        <v>1.86391642385487</v>
      </c>
      <c r="BK89">
        <v>8.0716568740977906E-2</v>
      </c>
      <c r="BL89">
        <v>4.2952506148089898E-3</v>
      </c>
      <c r="BM89">
        <v>0</v>
      </c>
      <c r="BN89">
        <v>8.5011819355786902E-2</v>
      </c>
      <c r="BO89">
        <v>1.6673068621376901</v>
      </c>
      <c r="BP89">
        <v>801.95899789281498</v>
      </c>
    </row>
    <row r="90" spans="1:68" x14ac:dyDescent="0.25">
      <c r="A90" t="s">
        <v>106</v>
      </c>
      <c r="AE90" s="73">
        <f>SUM(AE83:AE89)*453.6*2000/SUM($H$83:$H$89)</f>
        <v>1090.9193408585058</v>
      </c>
      <c r="AI90" s="74">
        <f>SUM(AI83:AI89)*453.6*2000/SUM($H$83:$H$89)</f>
        <v>3.0623339865062737E-4</v>
      </c>
      <c r="AM90" s="74">
        <f>SUM(AM83:AM89)*453.6*2000/SUM($H$83:$H$89)</f>
        <v>0.17187478641731921</v>
      </c>
    </row>
    <row r="91" spans="1:68" x14ac:dyDescent="0.25">
      <c r="A91" t="s">
        <v>283</v>
      </c>
      <c r="AF91" s="73">
        <f>SUM(AF83:AF89)*453.6*2000/SUM($G$83:$G$89)/312</f>
        <v>2109.9884257563212</v>
      </c>
      <c r="AJ91" s="74">
        <f>SUM(AJ83:AJ89)*453.6*2000/SUM($G$83:$G$89)/312</f>
        <v>7.7462597008953037E-3</v>
      </c>
      <c r="AN91" s="74">
        <f>SUM(AN83:AN89)*453.6*2000/SUM($G$83:$G$89)/312</f>
        <v>0.33242953574779488</v>
      </c>
    </row>
    <row r="92" spans="1:68" x14ac:dyDescent="0.25">
      <c r="A92" t="s">
        <v>320</v>
      </c>
      <c r="H92">
        <f>SUM(H83:H89)/SUM(G83:G89)</f>
        <v>9859.8608831830843</v>
      </c>
      <c r="AF92" s="73"/>
      <c r="AJ92" s="74"/>
      <c r="AN92" s="74"/>
      <c r="BP92" s="74">
        <f>SUM(H83:H89)/(SUM(BP83:BP89)*1000)</f>
        <v>8.7723632709133224</v>
      </c>
    </row>
    <row r="93" spans="1:68" x14ac:dyDescent="0.25">
      <c r="AF93" s="73"/>
      <c r="AJ93" s="74"/>
      <c r="AN93" s="74"/>
    </row>
    <row r="94" spans="1:68" x14ac:dyDescent="0.25">
      <c r="A94" t="s">
        <v>37</v>
      </c>
      <c r="B94">
        <v>2025</v>
      </c>
      <c r="C94" t="s">
        <v>319</v>
      </c>
      <c r="D94">
        <v>2011</v>
      </c>
      <c r="E94" t="s">
        <v>39</v>
      </c>
      <c r="F94" t="s">
        <v>10</v>
      </c>
      <c r="G94">
        <v>160.70002181340101</v>
      </c>
      <c r="H94">
        <v>1473962.1243793</v>
      </c>
      <c r="I94">
        <v>1473962.1243793</v>
      </c>
      <c r="J94">
        <v>0</v>
      </c>
      <c r="K94">
        <v>715475.06511849805</v>
      </c>
      <c r="L94">
        <v>0</v>
      </c>
      <c r="M94">
        <v>3.3778156339440399</v>
      </c>
      <c r="N94">
        <v>0.61781174687686702</v>
      </c>
      <c r="O94">
        <v>1.26027955923312</v>
      </c>
      <c r="P94">
        <v>5.2559069400540404</v>
      </c>
      <c r="Q94">
        <v>2.64884320742164E-2</v>
      </c>
      <c r="R94">
        <v>1.27125997994871E-4</v>
      </c>
      <c r="S94">
        <v>0</v>
      </c>
      <c r="T94">
        <v>2.66155580722113E-2</v>
      </c>
      <c r="U94">
        <v>4.8742953650113101E-3</v>
      </c>
      <c r="V94">
        <v>2.4711994113644501E-2</v>
      </c>
      <c r="W94">
        <v>5.6201847550867101E-2</v>
      </c>
      <c r="X94">
        <v>2.7686121431935998E-2</v>
      </c>
      <c r="Y94">
        <v>1.3287407151093799E-4</v>
      </c>
      <c r="Z94">
        <v>0</v>
      </c>
      <c r="AA94">
        <v>2.7818995503446901E-2</v>
      </c>
      <c r="AB94">
        <v>1.9497181460045199E-2</v>
      </c>
      <c r="AC94">
        <v>7.0605697467555795E-2</v>
      </c>
      <c r="AD94">
        <v>0.117921874431048</v>
      </c>
      <c r="AE94">
        <v>1593.5747011027599</v>
      </c>
      <c r="AF94">
        <v>126.43389597051799</v>
      </c>
      <c r="AG94">
        <v>0</v>
      </c>
      <c r="AH94">
        <v>1720.00859707328</v>
      </c>
      <c r="AI94">
        <v>3.0820026210518002E-3</v>
      </c>
      <c r="AJ94">
        <v>4.6405732469129998E-4</v>
      </c>
      <c r="AK94">
        <v>0</v>
      </c>
      <c r="AL94">
        <v>3.54605994574311E-3</v>
      </c>
      <c r="AM94">
        <v>0.25106834312474202</v>
      </c>
      <c r="AN94">
        <v>1.9919711798987098E-2</v>
      </c>
      <c r="AO94">
        <v>0</v>
      </c>
      <c r="AP94">
        <v>0.27098805492372902</v>
      </c>
      <c r="AQ94">
        <v>6.6354671278965202E-2</v>
      </c>
      <c r="AR94">
        <v>9.9910269459727395E-3</v>
      </c>
      <c r="AS94">
        <v>0</v>
      </c>
      <c r="AT94">
        <v>7.6345698224937905E-2</v>
      </c>
      <c r="AU94">
        <v>0</v>
      </c>
      <c r="AV94">
        <v>0</v>
      </c>
      <c r="AW94">
        <v>0</v>
      </c>
      <c r="AX94">
        <v>7.6345698224937905E-2</v>
      </c>
      <c r="AY94">
        <v>7.5539742248013297E-2</v>
      </c>
      <c r="AZ94">
        <v>1.1374023648143401E-2</v>
      </c>
      <c r="BA94">
        <v>0</v>
      </c>
      <c r="BB94">
        <v>8.6913765896156805E-2</v>
      </c>
      <c r="BC94">
        <v>0</v>
      </c>
      <c r="BD94">
        <v>0</v>
      </c>
      <c r="BE94">
        <v>0</v>
      </c>
      <c r="BF94">
        <v>8.6913765896156805E-2</v>
      </c>
      <c r="BG94">
        <v>0.20150181668765499</v>
      </c>
      <c r="BH94">
        <v>0.33729370073155701</v>
      </c>
      <c r="BI94">
        <v>0</v>
      </c>
      <c r="BJ94">
        <v>0.53879551741921305</v>
      </c>
      <c r="BK94">
        <v>1.5090199479091701E-2</v>
      </c>
      <c r="BL94">
        <v>1.1972533887451701E-3</v>
      </c>
      <c r="BM94">
        <v>0</v>
      </c>
      <c r="BN94">
        <v>1.62874528678369E-2</v>
      </c>
      <c r="BO94">
        <v>0.35744822430204098</v>
      </c>
      <c r="BP94">
        <v>153.647686628739</v>
      </c>
    </row>
    <row r="95" spans="1:68" x14ac:dyDescent="0.25">
      <c r="A95" t="s">
        <v>37</v>
      </c>
      <c r="B95">
        <v>2025</v>
      </c>
      <c r="C95" t="s">
        <v>319</v>
      </c>
      <c r="D95">
        <v>2012</v>
      </c>
      <c r="E95" t="s">
        <v>39</v>
      </c>
      <c r="F95" t="s">
        <v>10</v>
      </c>
      <c r="G95">
        <v>428.60665317185402</v>
      </c>
      <c r="H95">
        <v>3990826.7219014801</v>
      </c>
      <c r="I95">
        <v>3990826.7219014801</v>
      </c>
      <c r="J95">
        <v>0</v>
      </c>
      <c r="K95">
        <v>1908259.6855178501</v>
      </c>
      <c r="L95">
        <v>0</v>
      </c>
      <c r="M95">
        <v>7.1447540596445798</v>
      </c>
      <c r="N95">
        <v>1.4197959153767601</v>
      </c>
      <c r="O95">
        <v>4.1291080438820602</v>
      </c>
      <c r="P95">
        <v>12.693658018903401</v>
      </c>
      <c r="Q95">
        <v>3.4633745456759298E-2</v>
      </c>
      <c r="R95">
        <v>3.3906061689889299E-4</v>
      </c>
      <c r="S95">
        <v>0</v>
      </c>
      <c r="T95">
        <v>3.49728060736582E-2</v>
      </c>
      <c r="U95">
        <v>1.31974003072301E-2</v>
      </c>
      <c r="V95">
        <v>6.6889208582309095E-2</v>
      </c>
      <c r="W95">
        <v>0.11505941496319699</v>
      </c>
      <c r="X95">
        <v>3.6199729741344597E-2</v>
      </c>
      <c r="Y95">
        <v>3.5439143343585699E-4</v>
      </c>
      <c r="Z95">
        <v>0</v>
      </c>
      <c r="AA95">
        <v>3.6554121174780498E-2</v>
      </c>
      <c r="AB95">
        <v>5.2789601228920603E-2</v>
      </c>
      <c r="AC95">
        <v>0.19111202452088299</v>
      </c>
      <c r="AD95">
        <v>0.28045574692458403</v>
      </c>
      <c r="AE95">
        <v>4253.8047088604999</v>
      </c>
      <c r="AF95">
        <v>324.32568157977698</v>
      </c>
      <c r="AG95">
        <v>0</v>
      </c>
      <c r="AH95">
        <v>4578.1303904402803</v>
      </c>
      <c r="AI95">
        <v>1.6793616377401099E-3</v>
      </c>
      <c r="AJ95">
        <v>1.13928933523047E-3</v>
      </c>
      <c r="AK95">
        <v>0</v>
      </c>
      <c r="AL95">
        <v>2.8186509729705902E-3</v>
      </c>
      <c r="AM95">
        <v>0.67018866419677303</v>
      </c>
      <c r="AN95">
        <v>5.10976432110078E-2</v>
      </c>
      <c r="AO95">
        <v>0</v>
      </c>
      <c r="AP95">
        <v>0.72128630740778099</v>
      </c>
      <c r="AQ95">
        <v>3.6156195542987803E-2</v>
      </c>
      <c r="AR95">
        <v>2.4528586969549598E-2</v>
      </c>
      <c r="AS95">
        <v>0</v>
      </c>
      <c r="AT95">
        <v>6.0684782512537401E-2</v>
      </c>
      <c r="AU95">
        <v>0</v>
      </c>
      <c r="AV95">
        <v>0</v>
      </c>
      <c r="AW95">
        <v>0</v>
      </c>
      <c r="AX95">
        <v>6.0684782512537401E-2</v>
      </c>
      <c r="AY95">
        <v>4.1161076369492601E-2</v>
      </c>
      <c r="AZ95">
        <v>2.7923929117182202E-2</v>
      </c>
      <c r="BA95">
        <v>0</v>
      </c>
      <c r="BB95">
        <v>6.90850054866749E-2</v>
      </c>
      <c r="BC95">
        <v>0</v>
      </c>
      <c r="BD95">
        <v>0</v>
      </c>
      <c r="BE95">
        <v>0</v>
      </c>
      <c r="BF95">
        <v>6.90850054866749E-2</v>
      </c>
      <c r="BG95">
        <v>0.351152122693841</v>
      </c>
      <c r="BH95">
        <v>1.03865925024289</v>
      </c>
      <c r="BI95">
        <v>0</v>
      </c>
      <c r="BJ95">
        <v>1.3898113729367301</v>
      </c>
      <c r="BK95">
        <v>4.02809868639257E-2</v>
      </c>
      <c r="BL95">
        <v>3.0711702613278498E-3</v>
      </c>
      <c r="BM95">
        <v>0</v>
      </c>
      <c r="BN95">
        <v>4.3352157125253601E-2</v>
      </c>
      <c r="BO95">
        <v>0.96780907843309305</v>
      </c>
      <c r="BP95">
        <v>408.96257424107898</v>
      </c>
    </row>
    <row r="96" spans="1:68" x14ac:dyDescent="0.25">
      <c r="A96" t="s">
        <v>37</v>
      </c>
      <c r="B96">
        <v>2025</v>
      </c>
      <c r="C96" t="s">
        <v>319</v>
      </c>
      <c r="D96">
        <v>2013</v>
      </c>
      <c r="E96" t="s">
        <v>39</v>
      </c>
      <c r="F96" t="s">
        <v>10</v>
      </c>
      <c r="G96">
        <v>476.49833147680999</v>
      </c>
      <c r="H96">
        <v>4516791.4968928397</v>
      </c>
      <c r="I96">
        <v>4516791.4968928397</v>
      </c>
      <c r="J96">
        <v>0</v>
      </c>
      <c r="K96">
        <v>2121484.9313343102</v>
      </c>
      <c r="L96">
        <v>0</v>
      </c>
      <c r="M96">
        <v>7.6635420719229499</v>
      </c>
      <c r="N96">
        <v>1.5784411644290699</v>
      </c>
      <c r="O96">
        <v>3.3023754720447198</v>
      </c>
      <c r="P96">
        <v>12.5443587083967</v>
      </c>
      <c r="Q96">
        <v>3.7670069592853898E-2</v>
      </c>
      <c r="R96">
        <v>3.7694659433352903E-4</v>
      </c>
      <c r="S96">
        <v>0</v>
      </c>
      <c r="T96">
        <v>3.80470161871874E-2</v>
      </c>
      <c r="U96">
        <v>1.4936731069192299E-2</v>
      </c>
      <c r="V96">
        <v>7.5660723912783098E-2</v>
      </c>
      <c r="W96">
        <v>0.128644471169162</v>
      </c>
      <c r="X96">
        <v>3.9373342981384597E-2</v>
      </c>
      <c r="Y96">
        <v>3.9399044665355202E-4</v>
      </c>
      <c r="Z96">
        <v>0</v>
      </c>
      <c r="AA96">
        <v>3.9767333428038197E-2</v>
      </c>
      <c r="AB96">
        <v>5.9746924276769399E-2</v>
      </c>
      <c r="AC96">
        <v>0.216173496893666</v>
      </c>
      <c r="AD96">
        <v>0.31568775459847298</v>
      </c>
      <c r="AE96">
        <v>4367.8716514872503</v>
      </c>
      <c r="AF96">
        <v>360.56520584593</v>
      </c>
      <c r="AG96">
        <v>0</v>
      </c>
      <c r="AH96">
        <v>4728.4368573331803</v>
      </c>
      <c r="AI96">
        <v>1.8559396209057301E-3</v>
      </c>
      <c r="AJ96">
        <v>1.2665913216447001E-3</v>
      </c>
      <c r="AK96">
        <v>0</v>
      </c>
      <c r="AL96">
        <v>3.1225309425504401E-3</v>
      </c>
      <c r="AM96">
        <v>0.68815995746014202</v>
      </c>
      <c r="AN96">
        <v>5.6807195017293199E-2</v>
      </c>
      <c r="AO96">
        <v>0</v>
      </c>
      <c r="AP96">
        <v>0.74496715247743495</v>
      </c>
      <c r="AQ96">
        <v>3.99578710990127E-2</v>
      </c>
      <c r="AR96">
        <v>2.7269363828069101E-2</v>
      </c>
      <c r="AS96">
        <v>0</v>
      </c>
      <c r="AT96">
        <v>6.7227234927081797E-2</v>
      </c>
      <c r="AU96">
        <v>0</v>
      </c>
      <c r="AV96">
        <v>0</v>
      </c>
      <c r="AW96">
        <v>0</v>
      </c>
      <c r="AX96">
        <v>6.7227234927081797E-2</v>
      </c>
      <c r="AY96">
        <v>4.5488994601584502E-2</v>
      </c>
      <c r="AZ96">
        <v>3.1044094939140301E-2</v>
      </c>
      <c r="BA96">
        <v>0</v>
      </c>
      <c r="BB96">
        <v>7.6533089540724797E-2</v>
      </c>
      <c r="BC96">
        <v>0</v>
      </c>
      <c r="BD96">
        <v>0</v>
      </c>
      <c r="BE96">
        <v>0</v>
      </c>
      <c r="BF96">
        <v>7.6533089540724797E-2</v>
      </c>
      <c r="BG96">
        <v>0.386736224289421</v>
      </c>
      <c r="BH96">
        <v>1.1547170256250201</v>
      </c>
      <c r="BI96">
        <v>0</v>
      </c>
      <c r="BJ96">
        <v>1.54145324991444</v>
      </c>
      <c r="BK96">
        <v>4.13611325998091E-2</v>
      </c>
      <c r="BL96">
        <v>3.4143368852866799E-3</v>
      </c>
      <c r="BM96">
        <v>0</v>
      </c>
      <c r="BN96">
        <v>4.4775469485095802E-2</v>
      </c>
      <c r="BO96">
        <v>1.09535996441346</v>
      </c>
      <c r="BP96">
        <v>422.38939138765102</v>
      </c>
    </row>
    <row r="97" spans="1:68" x14ac:dyDescent="0.25">
      <c r="A97" t="s">
        <v>37</v>
      </c>
      <c r="B97">
        <v>2025</v>
      </c>
      <c r="C97" t="s">
        <v>319</v>
      </c>
      <c r="D97">
        <v>2014</v>
      </c>
      <c r="E97" t="s">
        <v>39</v>
      </c>
      <c r="F97" t="s">
        <v>10</v>
      </c>
      <c r="G97">
        <v>541.83830735444701</v>
      </c>
      <c r="H97">
        <v>5242796.6607188499</v>
      </c>
      <c r="I97">
        <v>5242796.6607188499</v>
      </c>
      <c r="J97">
        <v>0</v>
      </c>
      <c r="K97">
        <v>2412394.1855357601</v>
      </c>
      <c r="L97">
        <v>0</v>
      </c>
      <c r="M97">
        <v>1.5570305662356001</v>
      </c>
      <c r="N97">
        <v>1.7948853800645299</v>
      </c>
      <c r="O97">
        <v>3.7552146939862401</v>
      </c>
      <c r="P97">
        <v>7.1071306402863801</v>
      </c>
      <c r="Q97">
        <v>2.09729476637633E-2</v>
      </c>
      <c r="R97">
        <v>4.2863550855193799E-4</v>
      </c>
      <c r="S97">
        <v>0</v>
      </c>
      <c r="T97">
        <v>2.1401583172315299E-2</v>
      </c>
      <c r="U97">
        <v>1.7337582180955501E-2</v>
      </c>
      <c r="V97">
        <v>8.7701731403833194E-2</v>
      </c>
      <c r="W97">
        <v>0.12644089675710399</v>
      </c>
      <c r="X97">
        <v>2.1921251291041801E-2</v>
      </c>
      <c r="Y97">
        <v>4.4801650420675803E-4</v>
      </c>
      <c r="Z97">
        <v>0</v>
      </c>
      <c r="AA97">
        <v>2.2369267795248601E-2</v>
      </c>
      <c r="AB97">
        <v>6.9350328723822297E-2</v>
      </c>
      <c r="AC97">
        <v>0.25057637543952299</v>
      </c>
      <c r="AD97">
        <v>0.34229597195859401</v>
      </c>
      <c r="AE97">
        <v>6759.6029328187897</v>
      </c>
      <c r="AF97">
        <v>388.22771370698899</v>
      </c>
      <c r="AG97">
        <v>0</v>
      </c>
      <c r="AH97">
        <v>7147.8306465257701</v>
      </c>
      <c r="AI97">
        <v>1.35042046001901E-3</v>
      </c>
      <c r="AJ97">
        <v>1.440273034541E-3</v>
      </c>
      <c r="AK97">
        <v>0</v>
      </c>
      <c r="AL97">
        <v>2.79069349456002E-3</v>
      </c>
      <c r="AM97">
        <v>1.0649781948405299</v>
      </c>
      <c r="AN97">
        <v>6.11654343960591E-2</v>
      </c>
      <c r="AO97">
        <v>0</v>
      </c>
      <c r="AP97">
        <v>1.1261436292365901</v>
      </c>
      <c r="AQ97">
        <v>2.90741821894916E-2</v>
      </c>
      <c r="AR97">
        <v>3.1008683479415999E-2</v>
      </c>
      <c r="AS97">
        <v>0</v>
      </c>
      <c r="AT97">
        <v>6.0082865668907602E-2</v>
      </c>
      <c r="AU97">
        <v>0</v>
      </c>
      <c r="AV97">
        <v>0</v>
      </c>
      <c r="AW97">
        <v>0</v>
      </c>
      <c r="AX97">
        <v>6.0082865668907602E-2</v>
      </c>
      <c r="AY97">
        <v>3.3098743258520198E-2</v>
      </c>
      <c r="AZ97">
        <v>3.5301025720368098E-2</v>
      </c>
      <c r="BA97">
        <v>0</v>
      </c>
      <c r="BB97">
        <v>6.8399768978888303E-2</v>
      </c>
      <c r="BC97">
        <v>0</v>
      </c>
      <c r="BD97">
        <v>0</v>
      </c>
      <c r="BE97">
        <v>0</v>
      </c>
      <c r="BF97">
        <v>6.8399768978888303E-2</v>
      </c>
      <c r="BG97">
        <v>0.22134467504235</v>
      </c>
      <c r="BH97">
        <v>1.31305794229943</v>
      </c>
      <c r="BI97">
        <v>0</v>
      </c>
      <c r="BJ97">
        <v>1.53440261734178</v>
      </c>
      <c r="BK97">
        <v>6.4009397604707197E-2</v>
      </c>
      <c r="BL97">
        <v>3.6762842928518601E-3</v>
      </c>
      <c r="BM97">
        <v>0</v>
      </c>
      <c r="BN97">
        <v>6.7685681897558997E-2</v>
      </c>
      <c r="BO97">
        <v>1.2714223288063</v>
      </c>
      <c r="BP97">
        <v>638.51288018062303</v>
      </c>
    </row>
    <row r="98" spans="1:68" x14ac:dyDescent="0.25">
      <c r="A98" t="s">
        <v>37</v>
      </c>
      <c r="B98">
        <v>2025</v>
      </c>
      <c r="C98" t="s">
        <v>319</v>
      </c>
      <c r="D98">
        <v>2015</v>
      </c>
      <c r="E98" t="s">
        <v>39</v>
      </c>
      <c r="F98" t="s">
        <v>10</v>
      </c>
      <c r="G98">
        <v>651.82592595603501</v>
      </c>
      <c r="H98">
        <v>6453799.4467416601</v>
      </c>
      <c r="I98">
        <v>6453799.4467416601</v>
      </c>
      <c r="J98">
        <v>0</v>
      </c>
      <c r="K98">
        <v>2902085.46057849</v>
      </c>
      <c r="L98">
        <v>0</v>
      </c>
      <c r="M98">
        <v>1.8844958608992</v>
      </c>
      <c r="N98">
        <v>2.1592287015620899</v>
      </c>
      <c r="O98">
        <v>4.5174847585483402</v>
      </c>
      <c r="P98">
        <v>8.56120932100964</v>
      </c>
      <c r="Q98">
        <v>2.55359469541321E-2</v>
      </c>
      <c r="R98">
        <v>5.1564412015029704E-4</v>
      </c>
      <c r="S98">
        <v>0</v>
      </c>
      <c r="T98">
        <v>2.6051591074282399E-2</v>
      </c>
      <c r="U98">
        <v>2.1342288386967501E-2</v>
      </c>
      <c r="V98">
        <v>0.107896365731594</v>
      </c>
      <c r="W98">
        <v>0.15529024519284401</v>
      </c>
      <c r="X98">
        <v>2.66905691613116E-2</v>
      </c>
      <c r="Y98">
        <v>5.3895925912659799E-4</v>
      </c>
      <c r="Z98">
        <v>0</v>
      </c>
      <c r="AA98">
        <v>2.7229528420438201E-2</v>
      </c>
      <c r="AB98">
        <v>8.5369153547870003E-2</v>
      </c>
      <c r="AC98">
        <v>0.30827533066169699</v>
      </c>
      <c r="AD98">
        <v>0.42087401263000501</v>
      </c>
      <c r="AE98">
        <v>8320.5215010103693</v>
      </c>
      <c r="AF98">
        <v>467.03395742619603</v>
      </c>
      <c r="AG98">
        <v>0</v>
      </c>
      <c r="AH98">
        <v>8787.55545843656</v>
      </c>
      <c r="AI98">
        <v>1.6294070676166901E-3</v>
      </c>
      <c r="AJ98">
        <v>1.7326336872581E-3</v>
      </c>
      <c r="AK98">
        <v>0</v>
      </c>
      <c r="AL98">
        <v>3.36204075487479E-3</v>
      </c>
      <c r="AM98">
        <v>1.31090155092626</v>
      </c>
      <c r="AN98">
        <v>7.35813901870076E-2</v>
      </c>
      <c r="AO98">
        <v>0</v>
      </c>
      <c r="AP98">
        <v>1.38448294111326</v>
      </c>
      <c r="AQ98">
        <v>3.5080687346862198E-2</v>
      </c>
      <c r="AR98">
        <v>3.7303128160753103E-2</v>
      </c>
      <c r="AS98">
        <v>0</v>
      </c>
      <c r="AT98">
        <v>7.2383815507615301E-2</v>
      </c>
      <c r="AU98">
        <v>0</v>
      </c>
      <c r="AV98">
        <v>0</v>
      </c>
      <c r="AW98">
        <v>0</v>
      </c>
      <c r="AX98">
        <v>7.2383815507615301E-2</v>
      </c>
      <c r="AY98">
        <v>3.99366921572736E-2</v>
      </c>
      <c r="AZ98">
        <v>4.24667718488295E-2</v>
      </c>
      <c r="BA98">
        <v>0</v>
      </c>
      <c r="BB98">
        <v>8.24034640061031E-2</v>
      </c>
      <c r="BC98">
        <v>0</v>
      </c>
      <c r="BD98">
        <v>0</v>
      </c>
      <c r="BE98">
        <v>0</v>
      </c>
      <c r="BF98">
        <v>8.24034640061031E-2</v>
      </c>
      <c r="BG98">
        <v>0.26630524317045101</v>
      </c>
      <c r="BH98">
        <v>1.5795952361732699</v>
      </c>
      <c r="BI98">
        <v>0</v>
      </c>
      <c r="BJ98">
        <v>1.8459004793437199</v>
      </c>
      <c r="BK98">
        <v>7.8790363033142602E-2</v>
      </c>
      <c r="BL98">
        <v>4.4225322955955097E-3</v>
      </c>
      <c r="BM98">
        <v>0</v>
      </c>
      <c r="BN98">
        <v>8.3212895328738101E-2</v>
      </c>
      <c r="BO98">
        <v>1.56510069972846</v>
      </c>
      <c r="BP98">
        <v>784.98884808365005</v>
      </c>
    </row>
    <row r="99" spans="1:68" x14ac:dyDescent="0.25">
      <c r="A99" t="s">
        <v>37</v>
      </c>
      <c r="B99">
        <v>2025</v>
      </c>
      <c r="C99" t="s">
        <v>319</v>
      </c>
      <c r="D99">
        <v>2016</v>
      </c>
      <c r="E99" t="s">
        <v>39</v>
      </c>
      <c r="F99" t="s">
        <v>10</v>
      </c>
      <c r="G99">
        <v>997.43377864714205</v>
      </c>
      <c r="H99">
        <v>10128407.6110739</v>
      </c>
      <c r="I99">
        <v>10128407.6110739</v>
      </c>
      <c r="J99">
        <v>0</v>
      </c>
      <c r="K99">
        <v>4440814.5666439496</v>
      </c>
      <c r="L99">
        <v>0</v>
      </c>
      <c r="M99">
        <v>2.9098317724691598</v>
      </c>
      <c r="N99">
        <v>3.30408404606447</v>
      </c>
      <c r="O99">
        <v>8.0172659251898999</v>
      </c>
      <c r="P99">
        <v>14.2311817437235</v>
      </c>
      <c r="Q99">
        <v>3.94733888473532E-2</v>
      </c>
      <c r="R99">
        <v>7.8904634307750104E-4</v>
      </c>
      <c r="S99">
        <v>0</v>
      </c>
      <c r="T99">
        <v>4.0262435190430698E-2</v>
      </c>
      <c r="U99">
        <v>3.3493974815941997E-2</v>
      </c>
      <c r="V99">
        <v>0.16930358021785399</v>
      </c>
      <c r="W99">
        <v>0.243059990224227</v>
      </c>
      <c r="X99">
        <v>4.1258200330461701E-2</v>
      </c>
      <c r="Y99">
        <v>8.2472351737017499E-4</v>
      </c>
      <c r="Z99">
        <v>0</v>
      </c>
      <c r="AA99">
        <v>4.2082923847831903E-2</v>
      </c>
      <c r="AB99">
        <v>0.13397589926376799</v>
      </c>
      <c r="AC99">
        <v>0.48372451490815399</v>
      </c>
      <c r="AD99">
        <v>0.65978333801975497</v>
      </c>
      <c r="AE99">
        <v>13060.7022296506</v>
      </c>
      <c r="AF99">
        <v>714.66234520960199</v>
      </c>
      <c r="AG99">
        <v>0</v>
      </c>
      <c r="AH99">
        <v>13775.364574860199</v>
      </c>
      <c r="AI99">
        <v>2.5009589053674799E-3</v>
      </c>
      <c r="AJ99">
        <v>2.6513019763037501E-3</v>
      </c>
      <c r="AK99">
        <v>0</v>
      </c>
      <c r="AL99">
        <v>5.15226088167124E-3</v>
      </c>
      <c r="AM99">
        <v>2.0577189551106798</v>
      </c>
      <c r="AN99">
        <v>0.112595343526256</v>
      </c>
      <c r="AO99">
        <v>0</v>
      </c>
      <c r="AP99">
        <v>2.1703142986369399</v>
      </c>
      <c r="AQ99">
        <v>5.38449594151304E-2</v>
      </c>
      <c r="AR99">
        <v>5.7081804505041897E-2</v>
      </c>
      <c r="AS99">
        <v>0</v>
      </c>
      <c r="AT99">
        <v>0.11092676392017201</v>
      </c>
      <c r="AU99">
        <v>0</v>
      </c>
      <c r="AV99">
        <v>0</v>
      </c>
      <c r="AW99">
        <v>0</v>
      </c>
      <c r="AX99">
        <v>0.11092676392017201</v>
      </c>
      <c r="AY99">
        <v>6.1298387546425699E-2</v>
      </c>
      <c r="AZ99">
        <v>6.49832892884704E-2</v>
      </c>
      <c r="BA99">
        <v>0</v>
      </c>
      <c r="BB99">
        <v>0.126281676834896</v>
      </c>
      <c r="BC99">
        <v>0</v>
      </c>
      <c r="BD99">
        <v>0</v>
      </c>
      <c r="BE99">
        <v>0</v>
      </c>
      <c r="BF99">
        <v>0.126281676834896</v>
      </c>
      <c r="BG99">
        <v>0.40812816816191499</v>
      </c>
      <c r="BH99">
        <v>2.4171202500706799</v>
      </c>
      <c r="BI99">
        <v>0</v>
      </c>
      <c r="BJ99">
        <v>2.8252484182325901</v>
      </c>
      <c r="BK99">
        <v>0.123677039956808</v>
      </c>
      <c r="BL99">
        <v>6.7674250488198402E-3</v>
      </c>
      <c r="BM99">
        <v>0</v>
      </c>
      <c r="BN99">
        <v>0.13044446500562801</v>
      </c>
      <c r="BO99">
        <v>2.4562241157385301</v>
      </c>
      <c r="BP99">
        <v>1230.5478606305901</v>
      </c>
    </row>
    <row r="100" spans="1:68" x14ac:dyDescent="0.25">
      <c r="A100" t="s">
        <v>37</v>
      </c>
      <c r="B100">
        <v>2025</v>
      </c>
      <c r="C100" t="s">
        <v>319</v>
      </c>
      <c r="D100">
        <v>2017</v>
      </c>
      <c r="E100" t="s">
        <v>39</v>
      </c>
      <c r="F100" t="s">
        <v>10</v>
      </c>
      <c r="G100">
        <v>911.27613965135004</v>
      </c>
      <c r="H100">
        <v>9510952.0574975405</v>
      </c>
      <c r="I100">
        <v>9510952.0574975405</v>
      </c>
      <c r="J100">
        <v>0</v>
      </c>
      <c r="K100">
        <v>4057220.0800013202</v>
      </c>
      <c r="L100">
        <v>0</v>
      </c>
      <c r="M100">
        <v>2.68732705725151</v>
      </c>
      <c r="N100">
        <v>3.0186795545113299</v>
      </c>
      <c r="O100">
        <v>7.3247400471782198</v>
      </c>
      <c r="P100">
        <v>13.030746658941</v>
      </c>
      <c r="Q100">
        <v>3.6146823573045099E-2</v>
      </c>
      <c r="R100">
        <v>7.2088906644098905E-4</v>
      </c>
      <c r="S100">
        <v>0</v>
      </c>
      <c r="T100">
        <v>3.68677126394861E-2</v>
      </c>
      <c r="U100">
        <v>3.1452090093722303E-2</v>
      </c>
      <c r="V100">
        <v>0.15906383423231199</v>
      </c>
      <c r="W100">
        <v>0.227383636965521</v>
      </c>
      <c r="X100">
        <v>3.7781222535864203E-2</v>
      </c>
      <c r="Y100">
        <v>7.5348447112759604E-4</v>
      </c>
      <c r="Z100">
        <v>0</v>
      </c>
      <c r="AA100">
        <v>3.8534707006991797E-2</v>
      </c>
      <c r="AB100">
        <v>0.12580836037488899</v>
      </c>
      <c r="AC100">
        <v>0.45446809780660702</v>
      </c>
      <c r="AD100">
        <v>0.618811165188489</v>
      </c>
      <c r="AE100">
        <v>11800.0898272168</v>
      </c>
      <c r="AF100">
        <v>628.24484665311195</v>
      </c>
      <c r="AG100">
        <v>0</v>
      </c>
      <c r="AH100">
        <v>12428.3346738699</v>
      </c>
      <c r="AI100">
        <v>2.2874269540696999E-3</v>
      </c>
      <c r="AJ100">
        <v>2.4222843478320598E-3</v>
      </c>
      <c r="AK100">
        <v>0</v>
      </c>
      <c r="AL100">
        <v>4.7097113019017702E-3</v>
      </c>
      <c r="AM100">
        <v>1.8591089577365201</v>
      </c>
      <c r="AN100">
        <v>9.8980231436093205E-2</v>
      </c>
      <c r="AO100">
        <v>0</v>
      </c>
      <c r="AP100">
        <v>1.95808918917261</v>
      </c>
      <c r="AQ100">
        <v>4.9247675058803397E-2</v>
      </c>
      <c r="AR100">
        <v>5.2151117765670801E-2</v>
      </c>
      <c r="AS100">
        <v>0</v>
      </c>
      <c r="AT100">
        <v>0.101398792824474</v>
      </c>
      <c r="AU100">
        <v>0</v>
      </c>
      <c r="AV100">
        <v>0</v>
      </c>
      <c r="AW100">
        <v>0</v>
      </c>
      <c r="AX100">
        <v>0.101398792824474</v>
      </c>
      <c r="AY100">
        <v>5.6064729257957101E-2</v>
      </c>
      <c r="AZ100">
        <v>5.9370077765925199E-2</v>
      </c>
      <c r="BA100">
        <v>0</v>
      </c>
      <c r="BB100">
        <v>0.11543480702388199</v>
      </c>
      <c r="BC100">
        <v>0</v>
      </c>
      <c r="BD100">
        <v>0</v>
      </c>
      <c r="BE100">
        <v>0</v>
      </c>
      <c r="BF100">
        <v>0.11543480702388199</v>
      </c>
      <c r="BG100">
        <v>0.37434262323571099</v>
      </c>
      <c r="BH100">
        <v>2.2083310769211901</v>
      </c>
      <c r="BI100">
        <v>0</v>
      </c>
      <c r="BJ100">
        <v>2.5826737001568998</v>
      </c>
      <c r="BK100">
        <v>0.11173979433827599</v>
      </c>
      <c r="BL100">
        <v>5.9491030142147803E-3</v>
      </c>
      <c r="BM100">
        <v>0</v>
      </c>
      <c r="BN100">
        <v>0.117688897352491</v>
      </c>
      <c r="BO100">
        <v>2.3064859456995599</v>
      </c>
      <c r="BP100">
        <v>1110.2182131747199</v>
      </c>
    </row>
    <row r="101" spans="1:68" x14ac:dyDescent="0.25">
      <c r="A101" t="s">
        <v>106</v>
      </c>
      <c r="AE101" s="73">
        <f>SUM(AE94:AE100)*453.6*2000/SUM($H$94:$H$100)</f>
        <v>1101.267875026007</v>
      </c>
      <c r="AI101" s="74">
        <f>SUM(AI94:AI100)*453.6*2000/SUM($H$94:$H$100)</f>
        <v>3.1585962015648735E-4</v>
      </c>
      <c r="AM101" s="74">
        <f>SUM(AM94:AM100)*453.6*2000/SUM($H$94:$H$100)</f>
        <v>0.17350520218973717</v>
      </c>
    </row>
    <row r="102" spans="1:68" x14ac:dyDescent="0.25">
      <c r="A102" t="s">
        <v>283</v>
      </c>
      <c r="AF102" s="73">
        <f>SUM(AF94:AF100)*453.6*2000/SUM($G$94:$G$100)/312</f>
        <v>2099.4014877500895</v>
      </c>
      <c r="AJ102" s="74">
        <f>SUM(AJ94:AJ100)*453.6*2000/SUM($G$94:$G$100)/312</f>
        <v>7.7547436810793098E-3</v>
      </c>
      <c r="AN102" s="74">
        <f>SUM(AN94:AN100)*453.6*2000/SUM($G$94:$G$100)/312</f>
        <v>0.33076155935349721</v>
      </c>
    </row>
    <row r="103" spans="1:68" x14ac:dyDescent="0.25">
      <c r="A103" t="s">
        <v>320</v>
      </c>
      <c r="H103">
        <f>SUM(H94:H100)/SUM(G94:G100)</f>
        <v>9912.610411479196</v>
      </c>
      <c r="AF103" s="73"/>
      <c r="AJ103" s="74"/>
      <c r="AN103" s="74"/>
      <c r="BP103" s="74">
        <f>SUM(H94:H100)/(SUM(BP94:BP100)*1000)</f>
        <v>8.6997703364886743</v>
      </c>
    </row>
    <row r="105" spans="1:68" x14ac:dyDescent="0.25">
      <c r="A105" t="s">
        <v>37</v>
      </c>
      <c r="B105">
        <v>2026</v>
      </c>
      <c r="C105" t="s">
        <v>318</v>
      </c>
      <c r="D105">
        <v>2011</v>
      </c>
      <c r="E105" t="s">
        <v>39</v>
      </c>
      <c r="F105" t="s">
        <v>10</v>
      </c>
      <c r="G105">
        <v>104.37044597887299</v>
      </c>
      <c r="H105">
        <v>946663.92045802705</v>
      </c>
      <c r="I105">
        <v>946663.92045802705</v>
      </c>
      <c r="J105">
        <v>0</v>
      </c>
      <c r="K105">
        <v>464682.27440497797</v>
      </c>
      <c r="L105">
        <v>0</v>
      </c>
      <c r="M105">
        <v>2.18312340797385</v>
      </c>
      <c r="N105">
        <v>0.40125251275571899</v>
      </c>
      <c r="O105">
        <v>0.818518492847219</v>
      </c>
      <c r="P105">
        <v>3.4028944135767798</v>
      </c>
      <c r="Q105">
        <v>1.7550166650899701E-2</v>
      </c>
      <c r="R105">
        <v>8.2564998787870394E-5</v>
      </c>
      <c r="S105">
        <v>0</v>
      </c>
      <c r="T105">
        <v>1.7632731649687601E-2</v>
      </c>
      <c r="U105">
        <v>3.13055504167394E-3</v>
      </c>
      <c r="V105">
        <v>1.58340910890542E-2</v>
      </c>
      <c r="W105">
        <v>3.6597377780415802E-2</v>
      </c>
      <c r="X105">
        <v>1.8343707309142299E-2</v>
      </c>
      <c r="Y105">
        <v>8.6298221656301894E-5</v>
      </c>
      <c r="Z105">
        <v>0</v>
      </c>
      <c r="AA105">
        <v>1.8430005530798599E-2</v>
      </c>
      <c r="AB105">
        <v>1.2522220166695699E-2</v>
      </c>
      <c r="AC105">
        <v>4.5240260254440799E-2</v>
      </c>
      <c r="AD105">
        <v>7.6192485951935202E-2</v>
      </c>
      <c r="AE105">
        <v>1020.64197476504</v>
      </c>
      <c r="AF105">
        <v>82.115496689927596</v>
      </c>
      <c r="AG105">
        <v>0</v>
      </c>
      <c r="AH105">
        <v>1102.7574714549701</v>
      </c>
      <c r="AI105">
        <v>1.9899652092869699E-3</v>
      </c>
      <c r="AJ105">
        <v>3.0139305142119901E-4</v>
      </c>
      <c r="AK105">
        <v>0</v>
      </c>
      <c r="AL105">
        <v>2.2913582607081702E-3</v>
      </c>
      <c r="AM105">
        <v>0.16080255876960001</v>
      </c>
      <c r="AN105">
        <v>1.29373299441429E-2</v>
      </c>
      <c r="AO105">
        <v>0</v>
      </c>
      <c r="AP105">
        <v>0.17373988871374299</v>
      </c>
      <c r="AQ105">
        <v>4.2843405264123703E-2</v>
      </c>
      <c r="AR105">
        <v>6.4889097485558997E-3</v>
      </c>
      <c r="AS105">
        <v>0</v>
      </c>
      <c r="AT105">
        <v>4.9332315012679602E-2</v>
      </c>
      <c r="AU105">
        <v>0</v>
      </c>
      <c r="AV105">
        <v>0</v>
      </c>
      <c r="AW105">
        <v>0</v>
      </c>
      <c r="AX105">
        <v>4.9332315012679602E-2</v>
      </c>
      <c r="AY105">
        <v>4.8773955597984198E-2</v>
      </c>
      <c r="AZ105">
        <v>7.3871298045586203E-3</v>
      </c>
      <c r="BA105">
        <v>0</v>
      </c>
      <c r="BB105">
        <v>5.6161085402542797E-2</v>
      </c>
      <c r="BC105">
        <v>0</v>
      </c>
      <c r="BD105">
        <v>0</v>
      </c>
      <c r="BE105">
        <v>0</v>
      </c>
      <c r="BF105">
        <v>5.6161085402542797E-2</v>
      </c>
      <c r="BG105">
        <v>0.128534080209149</v>
      </c>
      <c r="BH105">
        <v>0.219063405057247</v>
      </c>
      <c r="BI105">
        <v>0</v>
      </c>
      <c r="BJ105">
        <v>0.347597485266397</v>
      </c>
      <c r="BK105">
        <v>9.6648691682170093E-3</v>
      </c>
      <c r="BL105">
        <v>7.77584649479071E-4</v>
      </c>
      <c r="BM105">
        <v>0</v>
      </c>
      <c r="BN105">
        <v>1.0442453817696E-2</v>
      </c>
      <c r="BO105">
        <v>0.22957397058016399</v>
      </c>
      <c r="BP105">
        <v>98.508888089235896</v>
      </c>
    </row>
    <row r="106" spans="1:68" x14ac:dyDescent="0.25">
      <c r="A106" t="s">
        <v>37</v>
      </c>
      <c r="B106">
        <v>2026</v>
      </c>
      <c r="C106" t="s">
        <v>318</v>
      </c>
      <c r="D106">
        <v>2012</v>
      </c>
      <c r="E106" t="s">
        <v>39</v>
      </c>
      <c r="F106" t="s">
        <v>10</v>
      </c>
      <c r="G106">
        <v>602.90504426526695</v>
      </c>
      <c r="H106">
        <v>5535032.7239300702</v>
      </c>
      <c r="I106">
        <v>5535032.7239300702</v>
      </c>
      <c r="J106">
        <v>0</v>
      </c>
      <c r="K106">
        <v>2684277.9542795899</v>
      </c>
      <c r="L106">
        <v>0</v>
      </c>
      <c r="M106">
        <v>10.0565376712901</v>
      </c>
      <c r="N106">
        <v>1.9971741289434299</v>
      </c>
      <c r="O106">
        <v>5.8082627732205498</v>
      </c>
      <c r="P106">
        <v>17.861974573453999</v>
      </c>
      <c r="Q106">
        <v>4.9261882105575E-2</v>
      </c>
      <c r="R106">
        <v>4.7694396418542499E-4</v>
      </c>
      <c r="S106">
        <v>0</v>
      </c>
      <c r="T106">
        <v>4.9738826069760399E-2</v>
      </c>
      <c r="U106">
        <v>1.8303987534822701E-2</v>
      </c>
      <c r="V106">
        <v>9.2720709190266995E-2</v>
      </c>
      <c r="W106">
        <v>0.16076352279485001</v>
      </c>
      <c r="X106">
        <v>5.1489285818024803E-2</v>
      </c>
      <c r="Y106">
        <v>4.9850925383839405E-4</v>
      </c>
      <c r="Z106">
        <v>0</v>
      </c>
      <c r="AA106">
        <v>5.1987795071863199E-2</v>
      </c>
      <c r="AB106">
        <v>7.32159501392909E-2</v>
      </c>
      <c r="AC106">
        <v>0.26491631197219101</v>
      </c>
      <c r="AD106">
        <v>0.39012005718334503</v>
      </c>
      <c r="AE106">
        <v>5898.7916834053403</v>
      </c>
      <c r="AF106">
        <v>456.21687848791203</v>
      </c>
      <c r="AG106">
        <v>0</v>
      </c>
      <c r="AH106">
        <v>6355.0085618932599</v>
      </c>
      <c r="AI106">
        <v>2.3547548287905298E-3</v>
      </c>
      <c r="AJ106">
        <v>1.60259595133407E-3</v>
      </c>
      <c r="AK106">
        <v>0</v>
      </c>
      <c r="AL106">
        <v>3.95735078012461E-3</v>
      </c>
      <c r="AM106">
        <v>0.929357031939406</v>
      </c>
      <c r="AN106">
        <v>7.1877154995142897E-2</v>
      </c>
      <c r="AO106">
        <v>0</v>
      </c>
      <c r="AP106">
        <v>1.00123418693454</v>
      </c>
      <c r="AQ106">
        <v>5.0697225738772403E-2</v>
      </c>
      <c r="AR106">
        <v>3.4503451365489803E-2</v>
      </c>
      <c r="AS106">
        <v>0</v>
      </c>
      <c r="AT106">
        <v>8.5200677104262296E-2</v>
      </c>
      <c r="AU106">
        <v>0</v>
      </c>
      <c r="AV106">
        <v>0</v>
      </c>
      <c r="AW106">
        <v>0</v>
      </c>
      <c r="AX106">
        <v>8.5200677104262296E-2</v>
      </c>
      <c r="AY106">
        <v>5.7714932365436102E-2</v>
      </c>
      <c r="AZ106">
        <v>3.9279552932427797E-2</v>
      </c>
      <c r="BA106">
        <v>0</v>
      </c>
      <c r="BB106">
        <v>9.6994485297863905E-2</v>
      </c>
      <c r="BC106">
        <v>0</v>
      </c>
      <c r="BD106">
        <v>0</v>
      </c>
      <c r="BE106">
        <v>0</v>
      </c>
      <c r="BF106">
        <v>9.6994485297863905E-2</v>
      </c>
      <c r="BG106">
        <v>0.49079613995981097</v>
      </c>
      <c r="BH106">
        <v>1.46104335201049</v>
      </c>
      <c r="BI106">
        <v>0</v>
      </c>
      <c r="BJ106">
        <v>1.9518394919702999</v>
      </c>
      <c r="BK106">
        <v>5.5858029828533197E-2</v>
      </c>
      <c r="BL106">
        <v>4.3201010265455997E-3</v>
      </c>
      <c r="BM106">
        <v>0</v>
      </c>
      <c r="BN106">
        <v>6.0178130855078803E-2</v>
      </c>
      <c r="BO106">
        <v>1.3422920344412801</v>
      </c>
      <c r="BP106">
        <v>567.69039742138602</v>
      </c>
    </row>
    <row r="107" spans="1:68" x14ac:dyDescent="0.25">
      <c r="A107" t="s">
        <v>37</v>
      </c>
      <c r="B107">
        <v>2026</v>
      </c>
      <c r="C107" t="s">
        <v>318</v>
      </c>
      <c r="D107">
        <v>2013</v>
      </c>
      <c r="E107" t="s">
        <v>39</v>
      </c>
      <c r="F107" t="s">
        <v>10</v>
      </c>
      <c r="G107">
        <v>561.81223593862103</v>
      </c>
      <c r="H107">
        <v>5236059.7878974602</v>
      </c>
      <c r="I107">
        <v>5236059.7878974602</v>
      </c>
      <c r="J107">
        <v>0</v>
      </c>
      <c r="K107">
        <v>2501322.9093353599</v>
      </c>
      <c r="L107">
        <v>0</v>
      </c>
      <c r="M107">
        <v>9.0363988001070297</v>
      </c>
      <c r="N107">
        <v>1.8610507137287</v>
      </c>
      <c r="O107">
        <v>3.8936441647300901</v>
      </c>
      <c r="P107">
        <v>14.791093678565799</v>
      </c>
      <c r="Q107">
        <v>4.4949684841564398E-2</v>
      </c>
      <c r="R107">
        <v>4.4443641247519201E-4</v>
      </c>
      <c r="S107">
        <v>0</v>
      </c>
      <c r="T107">
        <v>4.5394121254039597E-2</v>
      </c>
      <c r="U107">
        <v>1.7315303787619599E-2</v>
      </c>
      <c r="V107">
        <v>8.7653333156234303E-2</v>
      </c>
      <c r="W107">
        <v>0.15036275819789299</v>
      </c>
      <c r="X107">
        <v>4.6982110128827602E-2</v>
      </c>
      <c r="Y107">
        <v>4.6453185488994802E-4</v>
      </c>
      <c r="Z107">
        <v>0</v>
      </c>
      <c r="AA107">
        <v>4.7446641983717501E-2</v>
      </c>
      <c r="AB107">
        <v>6.9261215150478395E-2</v>
      </c>
      <c r="AC107">
        <v>0.25043809473209799</v>
      </c>
      <c r="AD107">
        <v>0.36714595186629401</v>
      </c>
      <c r="AE107">
        <v>5062.3620330705799</v>
      </c>
      <c r="AF107">
        <v>425.12204370190898</v>
      </c>
      <c r="AG107">
        <v>0</v>
      </c>
      <c r="AH107">
        <v>5487.48407677249</v>
      </c>
      <c r="AI107">
        <v>2.1784972476283299E-3</v>
      </c>
      <c r="AJ107">
        <v>1.4933661996847801E-3</v>
      </c>
      <c r="AK107">
        <v>0</v>
      </c>
      <c r="AL107">
        <v>3.6718634473131102E-3</v>
      </c>
      <c r="AM107">
        <v>0.79757719990226605</v>
      </c>
      <c r="AN107">
        <v>6.6978151111574194E-2</v>
      </c>
      <c r="AO107">
        <v>0</v>
      </c>
      <c r="AP107">
        <v>0.86455535101383996</v>
      </c>
      <c r="AQ107">
        <v>4.6902448350019901E-2</v>
      </c>
      <c r="AR107">
        <v>3.2151764765658702E-2</v>
      </c>
      <c r="AS107">
        <v>0</v>
      </c>
      <c r="AT107">
        <v>7.9054213115678604E-2</v>
      </c>
      <c r="AU107">
        <v>0</v>
      </c>
      <c r="AV107">
        <v>0</v>
      </c>
      <c r="AW107">
        <v>0</v>
      </c>
      <c r="AX107">
        <v>7.9054213115678604E-2</v>
      </c>
      <c r="AY107">
        <v>5.33948671716864E-2</v>
      </c>
      <c r="AZ107">
        <v>3.6602336751934701E-2</v>
      </c>
      <c r="BA107">
        <v>0</v>
      </c>
      <c r="BB107">
        <v>8.9997203923621205E-2</v>
      </c>
      <c r="BC107">
        <v>0</v>
      </c>
      <c r="BD107">
        <v>0</v>
      </c>
      <c r="BE107">
        <v>0</v>
      </c>
      <c r="BF107">
        <v>8.9997203923621205E-2</v>
      </c>
      <c r="BG107">
        <v>0.45233932384210901</v>
      </c>
      <c r="BH107">
        <v>1.36146154390964</v>
      </c>
      <c r="BI107">
        <v>0</v>
      </c>
      <c r="BJ107">
        <v>1.8138008677517501</v>
      </c>
      <c r="BK107">
        <v>4.7937541215703101E-2</v>
      </c>
      <c r="BL107">
        <v>4.0256515354953996E-3</v>
      </c>
      <c r="BM107">
        <v>0</v>
      </c>
      <c r="BN107">
        <v>5.1963192751198498E-2</v>
      </c>
      <c r="BO107">
        <v>1.2697885804300499</v>
      </c>
      <c r="BP107">
        <v>490.19477881843102</v>
      </c>
    </row>
    <row r="108" spans="1:68" x14ac:dyDescent="0.25">
      <c r="A108" t="s">
        <v>37</v>
      </c>
      <c r="B108">
        <v>2026</v>
      </c>
      <c r="C108" t="s">
        <v>318</v>
      </c>
      <c r="D108">
        <v>2014</v>
      </c>
      <c r="E108" t="s">
        <v>39</v>
      </c>
      <c r="F108" t="s">
        <v>10</v>
      </c>
      <c r="G108">
        <v>481.08209415695597</v>
      </c>
      <c r="H108">
        <v>4564652.2547615301</v>
      </c>
      <c r="I108">
        <v>4564652.2547615301</v>
      </c>
      <c r="J108">
        <v>0</v>
      </c>
      <c r="K108">
        <v>2141892.9428893598</v>
      </c>
      <c r="L108">
        <v>0</v>
      </c>
      <c r="M108">
        <v>1.3690029281546501</v>
      </c>
      <c r="N108">
        <v>1.59362526734056</v>
      </c>
      <c r="O108">
        <v>3.3341432757170701</v>
      </c>
      <c r="P108">
        <v>6.2967714712122902</v>
      </c>
      <c r="Q108">
        <v>1.8582244011369299E-2</v>
      </c>
      <c r="R108">
        <v>3.80572700905939E-4</v>
      </c>
      <c r="S108">
        <v>0</v>
      </c>
      <c r="T108">
        <v>1.8962816712275302E-2</v>
      </c>
      <c r="U108">
        <v>1.50950034334453E-2</v>
      </c>
      <c r="V108">
        <v>7.6320042281079303E-2</v>
      </c>
      <c r="W108">
        <v>0.11037786242679901</v>
      </c>
      <c r="X108">
        <v>1.94224506280769E-2</v>
      </c>
      <c r="Y108">
        <v>3.9778050967455698E-4</v>
      </c>
      <c r="Z108">
        <v>0</v>
      </c>
      <c r="AA108">
        <v>1.9820231137751401E-2</v>
      </c>
      <c r="AB108">
        <v>6.0380013733781303E-2</v>
      </c>
      <c r="AC108">
        <v>0.21805726366022599</v>
      </c>
      <c r="AD108">
        <v>0.29825750853175897</v>
      </c>
      <c r="AE108">
        <v>5885.3892842188397</v>
      </c>
      <c r="AF108">
        <v>344.695823430838</v>
      </c>
      <c r="AG108">
        <v>0</v>
      </c>
      <c r="AH108">
        <v>6230.0851076496801</v>
      </c>
      <c r="AI108">
        <v>1.19809922054792E-3</v>
      </c>
      <c r="AJ108">
        <v>1.27877552806814E-3</v>
      </c>
      <c r="AK108">
        <v>0</v>
      </c>
      <c r="AL108">
        <v>2.4768747486160702E-3</v>
      </c>
      <c r="AM108">
        <v>0.92724547848959105</v>
      </c>
      <c r="AN108">
        <v>5.4306967355161703E-2</v>
      </c>
      <c r="AO108">
        <v>0</v>
      </c>
      <c r="AP108">
        <v>0.98155244584475299</v>
      </c>
      <c r="AQ108">
        <v>2.5794747673481999E-2</v>
      </c>
      <c r="AR108">
        <v>2.75316864511909E-2</v>
      </c>
      <c r="AS108">
        <v>0</v>
      </c>
      <c r="AT108">
        <v>5.3326434124673E-2</v>
      </c>
      <c r="AU108">
        <v>0</v>
      </c>
      <c r="AV108">
        <v>0</v>
      </c>
      <c r="AW108">
        <v>0</v>
      </c>
      <c r="AX108">
        <v>5.3326434124673E-2</v>
      </c>
      <c r="AY108">
        <v>2.9365356696824899E-2</v>
      </c>
      <c r="AZ108">
        <v>3.1342729277228303E-2</v>
      </c>
      <c r="BA108">
        <v>0</v>
      </c>
      <c r="BB108">
        <v>6.0708085974053298E-2</v>
      </c>
      <c r="BC108">
        <v>0</v>
      </c>
      <c r="BD108">
        <v>0</v>
      </c>
      <c r="BE108">
        <v>0</v>
      </c>
      <c r="BF108">
        <v>6.0708085974053298E-2</v>
      </c>
      <c r="BG108">
        <v>0.19586439137785899</v>
      </c>
      <c r="BH108">
        <v>1.1658250368362499</v>
      </c>
      <c r="BI108">
        <v>0</v>
      </c>
      <c r="BJ108">
        <v>1.3616894282141101</v>
      </c>
      <c r="BK108">
        <v>5.5731117122726097E-2</v>
      </c>
      <c r="BL108">
        <v>3.2640633235339698E-3</v>
      </c>
      <c r="BM108">
        <v>0</v>
      </c>
      <c r="BN108">
        <v>5.89951804462601E-2</v>
      </c>
      <c r="BO108">
        <v>1.10696660113156</v>
      </c>
      <c r="BP108">
        <v>556.53103473979502</v>
      </c>
    </row>
    <row r="109" spans="1:68" x14ac:dyDescent="0.25">
      <c r="A109" t="s">
        <v>37</v>
      </c>
      <c r="B109">
        <v>2026</v>
      </c>
      <c r="C109" t="s">
        <v>318</v>
      </c>
      <c r="D109">
        <v>2015</v>
      </c>
      <c r="E109" t="s">
        <v>39</v>
      </c>
      <c r="F109" t="s">
        <v>10</v>
      </c>
      <c r="G109">
        <v>863.41367939775103</v>
      </c>
      <c r="H109">
        <v>8362326.3631999902</v>
      </c>
      <c r="I109">
        <v>8362326.3631999902</v>
      </c>
      <c r="J109">
        <v>0</v>
      </c>
      <c r="K109">
        <v>3844124.9199618399</v>
      </c>
      <c r="L109">
        <v>0</v>
      </c>
      <c r="M109">
        <v>2.4667280743770799</v>
      </c>
      <c r="N109">
        <v>2.8601310927336501</v>
      </c>
      <c r="O109">
        <v>5.983895364825</v>
      </c>
      <c r="P109">
        <v>11.3107545319357</v>
      </c>
      <c r="Q109">
        <v>3.3721197152428599E-2</v>
      </c>
      <c r="R109">
        <v>6.8302620271775902E-4</v>
      </c>
      <c r="S109">
        <v>0</v>
      </c>
      <c r="T109">
        <v>3.4404223355146299E-2</v>
      </c>
      <c r="U109">
        <v>2.7653660808973801E-2</v>
      </c>
      <c r="V109">
        <v>0.13970839746977701</v>
      </c>
      <c r="W109">
        <v>0.20176628163389701</v>
      </c>
      <c r="X109">
        <v>3.5245920052065199E-2</v>
      </c>
      <c r="Y109">
        <v>7.1390961672077003E-4</v>
      </c>
      <c r="Z109">
        <v>0</v>
      </c>
      <c r="AA109">
        <v>3.5959829668785998E-2</v>
      </c>
      <c r="AB109">
        <v>0.110614643235895</v>
      </c>
      <c r="AC109">
        <v>0.39916684991364998</v>
      </c>
      <c r="AD109">
        <v>0.54574132281833099</v>
      </c>
      <c r="AE109">
        <v>10778.495082912401</v>
      </c>
      <c r="AF109">
        <v>618.63680398039401</v>
      </c>
      <c r="AG109">
        <v>0</v>
      </c>
      <c r="AH109">
        <v>11397.131886892799</v>
      </c>
      <c r="AI109">
        <v>2.1556553126740301E-3</v>
      </c>
      <c r="AJ109">
        <v>2.29506002660096E-3</v>
      </c>
      <c r="AK109">
        <v>0</v>
      </c>
      <c r="AL109">
        <v>4.4507153392749996E-3</v>
      </c>
      <c r="AM109">
        <v>1.69815628973799</v>
      </c>
      <c r="AN109">
        <v>9.7466480400235395E-2</v>
      </c>
      <c r="AO109">
        <v>0</v>
      </c>
      <c r="AP109">
        <v>1.7956227701382299</v>
      </c>
      <c r="AQ109">
        <v>4.6410667754210197E-2</v>
      </c>
      <c r="AR109">
        <v>4.9412013017246501E-2</v>
      </c>
      <c r="AS109">
        <v>0</v>
      </c>
      <c r="AT109">
        <v>9.5822680771456795E-2</v>
      </c>
      <c r="AU109">
        <v>0</v>
      </c>
      <c r="AV109">
        <v>0</v>
      </c>
      <c r="AW109">
        <v>0</v>
      </c>
      <c r="AX109">
        <v>9.5822680771456795E-2</v>
      </c>
      <c r="AY109">
        <v>5.28350123983298E-2</v>
      </c>
      <c r="AZ109">
        <v>5.6251815514027297E-2</v>
      </c>
      <c r="BA109">
        <v>0</v>
      </c>
      <c r="BB109">
        <v>0.10908682791235701</v>
      </c>
      <c r="BC109">
        <v>0</v>
      </c>
      <c r="BD109">
        <v>0</v>
      </c>
      <c r="BE109">
        <v>0</v>
      </c>
      <c r="BF109">
        <v>0.10908682791235701</v>
      </c>
      <c r="BG109">
        <v>0.35139859815072899</v>
      </c>
      <c r="BH109">
        <v>2.0923441067843802</v>
      </c>
      <c r="BI109">
        <v>0</v>
      </c>
      <c r="BJ109">
        <v>2.4437427049351101</v>
      </c>
      <c r="BK109">
        <v>0.10206590301226701</v>
      </c>
      <c r="BL109">
        <v>5.85812059560923E-3</v>
      </c>
      <c r="BM109">
        <v>0</v>
      </c>
      <c r="BN109">
        <v>0.10792402360787701</v>
      </c>
      <c r="BO109">
        <v>2.0279345446672901</v>
      </c>
      <c r="BP109">
        <v>1018.1012767049</v>
      </c>
    </row>
    <row r="110" spans="1:68" x14ac:dyDescent="0.25">
      <c r="A110" t="s">
        <v>37</v>
      </c>
      <c r="B110">
        <v>2026</v>
      </c>
      <c r="C110" t="s">
        <v>318</v>
      </c>
      <c r="D110">
        <v>2016</v>
      </c>
      <c r="E110" t="s">
        <v>39</v>
      </c>
      <c r="F110" t="s">
        <v>10</v>
      </c>
      <c r="G110">
        <v>932.64781350550595</v>
      </c>
      <c r="H110">
        <v>9242585.6786969192</v>
      </c>
      <c r="I110">
        <v>9242585.6786969192</v>
      </c>
      <c r="J110">
        <v>0</v>
      </c>
      <c r="K110">
        <v>4152371.9012017502</v>
      </c>
      <c r="L110">
        <v>0</v>
      </c>
      <c r="M110">
        <v>2.6997650645018298</v>
      </c>
      <c r="N110">
        <v>3.08947503801173</v>
      </c>
      <c r="O110">
        <v>7.4965232735162903</v>
      </c>
      <c r="P110">
        <v>13.2857633760298</v>
      </c>
      <c r="Q110">
        <v>3.6630801124344498E-2</v>
      </c>
      <c r="R110">
        <v>7.3779569368884396E-4</v>
      </c>
      <c r="S110">
        <v>0</v>
      </c>
      <c r="T110">
        <v>3.7368596818033402E-2</v>
      </c>
      <c r="U110">
        <v>3.0564620209197702E-2</v>
      </c>
      <c r="V110">
        <v>0.15450564463521199</v>
      </c>
      <c r="W110">
        <v>0.222438861662443</v>
      </c>
      <c r="X110">
        <v>3.82870834044148E-2</v>
      </c>
      <c r="Y110">
        <v>7.7115554103755095E-4</v>
      </c>
      <c r="Z110">
        <v>0</v>
      </c>
      <c r="AA110">
        <v>3.9058238945452399E-2</v>
      </c>
      <c r="AB110">
        <v>0.12225848083679</v>
      </c>
      <c r="AC110">
        <v>0.44144469895774802</v>
      </c>
      <c r="AD110">
        <v>0.60276141873999201</v>
      </c>
      <c r="AE110">
        <v>11918.5951625817</v>
      </c>
      <c r="AF110">
        <v>668.24313345233304</v>
      </c>
      <c r="AG110">
        <v>0</v>
      </c>
      <c r="AH110">
        <v>12586.838296034</v>
      </c>
      <c r="AI110">
        <v>2.33689657566268E-3</v>
      </c>
      <c r="AJ110">
        <v>2.4790928922580301E-3</v>
      </c>
      <c r="AK110">
        <v>0</v>
      </c>
      <c r="AL110">
        <v>4.8159894679207097E-3</v>
      </c>
      <c r="AM110">
        <v>1.87777952158327</v>
      </c>
      <c r="AN110">
        <v>0.10528197781017801</v>
      </c>
      <c r="AO110">
        <v>0</v>
      </c>
      <c r="AP110">
        <v>1.9830614993934499</v>
      </c>
      <c r="AQ110">
        <v>5.0312742446051897E-2</v>
      </c>
      <c r="AR110">
        <v>5.3374190149021103E-2</v>
      </c>
      <c r="AS110">
        <v>0</v>
      </c>
      <c r="AT110">
        <v>0.103686932595073</v>
      </c>
      <c r="AU110">
        <v>0</v>
      </c>
      <c r="AV110">
        <v>0</v>
      </c>
      <c r="AW110">
        <v>0</v>
      </c>
      <c r="AX110">
        <v>0.103686932595073</v>
      </c>
      <c r="AY110">
        <v>5.7277227404037498E-2</v>
      </c>
      <c r="AZ110">
        <v>6.0762452572523502E-2</v>
      </c>
      <c r="BA110">
        <v>0</v>
      </c>
      <c r="BB110">
        <v>0.11803967997656099</v>
      </c>
      <c r="BC110">
        <v>0</v>
      </c>
      <c r="BD110">
        <v>0</v>
      </c>
      <c r="BE110">
        <v>0</v>
      </c>
      <c r="BF110">
        <v>0.11803967997656099</v>
      </c>
      <c r="BG110">
        <v>0.38139355422279397</v>
      </c>
      <c r="BH110">
        <v>2.2601218892602901</v>
      </c>
      <c r="BI110">
        <v>0</v>
      </c>
      <c r="BJ110">
        <v>2.6415154434830899</v>
      </c>
      <c r="BK110">
        <v>0.112861968999279</v>
      </c>
      <c r="BL110">
        <v>6.3278628716626198E-3</v>
      </c>
      <c r="BM110">
        <v>0</v>
      </c>
      <c r="BN110">
        <v>0.119189831870942</v>
      </c>
      <c r="BO110">
        <v>2.2414048394906398</v>
      </c>
      <c r="BP110">
        <v>1124.3772789545301</v>
      </c>
    </row>
    <row r="111" spans="1:68" x14ac:dyDescent="0.25">
      <c r="A111" t="s">
        <v>37</v>
      </c>
      <c r="B111">
        <v>2026</v>
      </c>
      <c r="C111" t="s">
        <v>318</v>
      </c>
      <c r="D111">
        <v>2017</v>
      </c>
      <c r="E111" t="s">
        <v>39</v>
      </c>
      <c r="F111" t="s">
        <v>10</v>
      </c>
      <c r="G111">
        <v>639.35419058339698</v>
      </c>
      <c r="H111">
        <v>6498586.1004005503</v>
      </c>
      <c r="I111">
        <v>6498586.1004005503</v>
      </c>
      <c r="J111">
        <v>0</v>
      </c>
      <c r="K111">
        <v>2846558.3014830202</v>
      </c>
      <c r="L111">
        <v>0</v>
      </c>
      <c r="M111">
        <v>1.86328478295573</v>
      </c>
      <c r="N111">
        <v>2.1179150196377501</v>
      </c>
      <c r="O111">
        <v>5.13906053316488</v>
      </c>
      <c r="P111">
        <v>9.1202603357583705</v>
      </c>
      <c r="Q111">
        <v>2.5324561442007999E-2</v>
      </c>
      <c r="R111">
        <v>5.0577802437700998E-4</v>
      </c>
      <c r="S111">
        <v>0</v>
      </c>
      <c r="T111">
        <v>2.5830339466385001E-2</v>
      </c>
      <c r="U111">
        <v>2.1490394891694398E-2</v>
      </c>
      <c r="V111">
        <v>0.10859342093928499</v>
      </c>
      <c r="W111">
        <v>0.15591415529736399</v>
      </c>
      <c r="X111">
        <v>2.64696257343385E-2</v>
      </c>
      <c r="Y111">
        <v>5.2864706228259502E-4</v>
      </c>
      <c r="Z111">
        <v>0</v>
      </c>
      <c r="AA111">
        <v>2.6998272796621099E-2</v>
      </c>
      <c r="AB111">
        <v>8.5961579566777802E-2</v>
      </c>
      <c r="AC111">
        <v>0.31026691696938602</v>
      </c>
      <c r="AD111">
        <v>0.42322676933278502</v>
      </c>
      <c r="AE111">
        <v>8061.2822275588496</v>
      </c>
      <c r="AF111">
        <v>440.77854992861</v>
      </c>
      <c r="AG111">
        <v>0</v>
      </c>
      <c r="AH111">
        <v>8502.0607774874607</v>
      </c>
      <c r="AI111">
        <v>1.6050276795539101E-3</v>
      </c>
      <c r="AJ111">
        <v>1.6994822767590701E-3</v>
      </c>
      <c r="AK111">
        <v>0</v>
      </c>
      <c r="AL111">
        <v>3.3045099563129899E-3</v>
      </c>
      <c r="AM111">
        <v>1.27005829782159</v>
      </c>
      <c r="AN111">
        <v>6.9444840043533199E-2</v>
      </c>
      <c r="AO111">
        <v>0</v>
      </c>
      <c r="AP111">
        <v>1.3395031378651201</v>
      </c>
      <c r="AQ111">
        <v>3.4555805807230097E-2</v>
      </c>
      <c r="AR111">
        <v>3.6589387383548201E-2</v>
      </c>
      <c r="AS111">
        <v>0</v>
      </c>
      <c r="AT111">
        <v>7.1145193190778305E-2</v>
      </c>
      <c r="AU111">
        <v>0</v>
      </c>
      <c r="AV111">
        <v>0</v>
      </c>
      <c r="AW111">
        <v>0</v>
      </c>
      <c r="AX111">
        <v>7.1145193190778305E-2</v>
      </c>
      <c r="AY111">
        <v>3.9339154479061597E-2</v>
      </c>
      <c r="AZ111">
        <v>4.1654232304849499E-2</v>
      </c>
      <c r="BA111">
        <v>0</v>
      </c>
      <c r="BB111">
        <v>8.09933867839112E-2</v>
      </c>
      <c r="BC111">
        <v>0</v>
      </c>
      <c r="BD111">
        <v>0</v>
      </c>
      <c r="BE111">
        <v>0</v>
      </c>
      <c r="BF111">
        <v>8.09933867839112E-2</v>
      </c>
      <c r="BG111">
        <v>0.26173645155938602</v>
      </c>
      <c r="BH111">
        <v>1.54937199251722</v>
      </c>
      <c r="BI111">
        <v>0</v>
      </c>
      <c r="BJ111">
        <v>1.8111084440766001</v>
      </c>
      <c r="BK111">
        <v>7.6335522135824702E-2</v>
      </c>
      <c r="BL111">
        <v>4.1739092870417003E-3</v>
      </c>
      <c r="BM111">
        <v>0</v>
      </c>
      <c r="BN111">
        <v>8.0509431422866401E-2</v>
      </c>
      <c r="BO111">
        <v>1.5759618402951101</v>
      </c>
      <c r="BP111">
        <v>759.48572132761001</v>
      </c>
    </row>
    <row r="112" spans="1:68" x14ac:dyDescent="0.25">
      <c r="A112" t="s">
        <v>106</v>
      </c>
      <c r="AE112" s="73">
        <f>SUM(AE105:AE111)*453.6*2000/SUM($H$105:$H$111)</f>
        <v>1092.2895925971386</v>
      </c>
      <c r="AI112" s="74">
        <f>SUM(AI105:AI111)*453.6*2000/SUM($H$105:$H$111)</f>
        <v>3.1041775467462586E-4</v>
      </c>
      <c r="AM112" s="74">
        <f>SUM(AM105:AM111)*453.6*2000/SUM($H$105:$H$111)</f>
        <v>0.17209067013676099</v>
      </c>
    </row>
    <row r="113" spans="1:68" x14ac:dyDescent="0.25">
      <c r="A113" t="s">
        <v>283</v>
      </c>
      <c r="AF113" s="73">
        <f>SUM(AF105:AF111)*453.6*2000/SUM($G$105:$G$111)/312</f>
        <v>2108.9517064751344</v>
      </c>
      <c r="AJ113" s="74">
        <f>SUM(AJ105:AJ111)*453.6*2000/SUM($G$105:$G$111)/312</f>
        <v>7.745651973022496E-3</v>
      </c>
      <c r="AN113" s="74">
        <f>SUM(AN105:AN111)*453.6*2000/SUM($G$105:$G$111)/312</f>
        <v>0.3322662002028508</v>
      </c>
    </row>
    <row r="114" spans="1:68" x14ac:dyDescent="0.25">
      <c r="A114" t="s">
        <v>320</v>
      </c>
      <c r="H114">
        <f>SUM(H105:H111)/SUM(G105:G111)</f>
        <v>9648.8070288910931</v>
      </c>
      <c r="AF114" s="73"/>
      <c r="AJ114" s="74"/>
      <c r="AN114" s="74"/>
      <c r="BP114" s="74">
        <f>SUM(H105:H111)/(SUM(BP105:BP111)*1000)</f>
        <v>8.7512188350352922</v>
      </c>
    </row>
    <row r="116" spans="1:68" x14ac:dyDescent="0.25">
      <c r="A116" t="s">
        <v>37</v>
      </c>
      <c r="B116">
        <v>2026</v>
      </c>
      <c r="C116" t="s">
        <v>319</v>
      </c>
      <c r="D116">
        <v>2011</v>
      </c>
      <c r="E116" t="s">
        <v>39</v>
      </c>
      <c r="F116" t="s">
        <v>10</v>
      </c>
      <c r="G116">
        <v>147.07760326150699</v>
      </c>
      <c r="H116">
        <v>1332604.90604491</v>
      </c>
      <c r="I116">
        <v>1332604.90604491</v>
      </c>
      <c r="J116">
        <v>0</v>
      </c>
      <c r="K116">
        <v>654824.78834501503</v>
      </c>
      <c r="L116">
        <v>0</v>
      </c>
      <c r="M116">
        <v>3.0871025246688601</v>
      </c>
      <c r="N116">
        <v>0.56544031526618499</v>
      </c>
      <c r="O116">
        <v>1.15344662010503</v>
      </c>
      <c r="P116">
        <v>4.8059894600400801</v>
      </c>
      <c r="Q116">
        <v>2.4266768768101299E-2</v>
      </c>
      <c r="R116">
        <v>1.16349623891296E-4</v>
      </c>
      <c r="S116">
        <v>0</v>
      </c>
      <c r="T116">
        <v>2.43831183919926E-2</v>
      </c>
      <c r="U116">
        <v>4.40683638303204E-3</v>
      </c>
      <c r="V116">
        <v>2.2345815116875702E-2</v>
      </c>
      <c r="W116">
        <v>5.1135769891900301E-2</v>
      </c>
      <c r="X116">
        <v>2.5364004369603201E-2</v>
      </c>
      <c r="Y116">
        <v>1.21610437589851E-4</v>
      </c>
      <c r="Z116">
        <v>0</v>
      </c>
      <c r="AA116">
        <v>2.5485614807193101E-2</v>
      </c>
      <c r="AB116">
        <v>1.7627345532128101E-2</v>
      </c>
      <c r="AC116">
        <v>6.3845186048216304E-2</v>
      </c>
      <c r="AD116">
        <v>0.10695814638753701</v>
      </c>
      <c r="AE116">
        <v>1441.71826246776</v>
      </c>
      <c r="AF116">
        <v>115.716190828839</v>
      </c>
      <c r="AG116">
        <v>0</v>
      </c>
      <c r="AH116">
        <v>1557.4344532965999</v>
      </c>
      <c r="AI116">
        <v>2.8197707991846799E-3</v>
      </c>
      <c r="AJ116">
        <v>4.2471953843786E-4</v>
      </c>
      <c r="AK116">
        <v>0</v>
      </c>
      <c r="AL116">
        <v>3.2444903376225402E-3</v>
      </c>
      <c r="AM116">
        <v>0.22714329937591099</v>
      </c>
      <c r="AN116">
        <v>1.8231132989246401E-2</v>
      </c>
      <c r="AO116">
        <v>0</v>
      </c>
      <c r="AP116">
        <v>0.24537443236515799</v>
      </c>
      <c r="AQ116">
        <v>6.0708892063845901E-2</v>
      </c>
      <c r="AR116">
        <v>9.1440951952143894E-3</v>
      </c>
      <c r="AS116">
        <v>0</v>
      </c>
      <c r="AT116">
        <v>6.9852987259060306E-2</v>
      </c>
      <c r="AU116">
        <v>0</v>
      </c>
      <c r="AV116">
        <v>0</v>
      </c>
      <c r="AW116">
        <v>0</v>
      </c>
      <c r="AX116">
        <v>6.9852987259060306E-2</v>
      </c>
      <c r="AY116">
        <v>6.9112452375589606E-2</v>
      </c>
      <c r="AZ116">
        <v>1.0409856319441401E-2</v>
      </c>
      <c r="BA116">
        <v>0</v>
      </c>
      <c r="BB116">
        <v>7.9522308695031005E-2</v>
      </c>
      <c r="BC116">
        <v>0</v>
      </c>
      <c r="BD116">
        <v>0</v>
      </c>
      <c r="BE116">
        <v>0</v>
      </c>
      <c r="BF116">
        <v>7.9522308695031005E-2</v>
      </c>
      <c r="BG116">
        <v>0.18432225211259901</v>
      </c>
      <c r="BH116">
        <v>0.30870157041051099</v>
      </c>
      <c r="BI116">
        <v>0</v>
      </c>
      <c r="BJ116">
        <v>0.493023822523111</v>
      </c>
      <c r="BK116">
        <v>1.36522098137181E-2</v>
      </c>
      <c r="BL116">
        <v>1.09576313012466E-3</v>
      </c>
      <c r="BM116">
        <v>0</v>
      </c>
      <c r="BN116">
        <v>1.4747972943842801E-2</v>
      </c>
      <c r="BO116">
        <v>0.32316790878363499</v>
      </c>
      <c r="BP116">
        <v>139.12500276574099</v>
      </c>
    </row>
    <row r="117" spans="1:68" x14ac:dyDescent="0.25">
      <c r="A117" t="s">
        <v>37</v>
      </c>
      <c r="B117">
        <v>2026</v>
      </c>
      <c r="C117" t="s">
        <v>319</v>
      </c>
      <c r="D117">
        <v>2012</v>
      </c>
      <c r="E117" t="s">
        <v>39</v>
      </c>
      <c r="F117" t="s">
        <v>10</v>
      </c>
      <c r="G117">
        <v>396.87131338609902</v>
      </c>
      <c r="H117">
        <v>3639695.2553183101</v>
      </c>
      <c r="I117">
        <v>3639695.2553183101</v>
      </c>
      <c r="J117">
        <v>0</v>
      </c>
      <c r="K117">
        <v>1766966.3363101201</v>
      </c>
      <c r="L117">
        <v>0</v>
      </c>
      <c r="M117">
        <v>6.6215998615749001</v>
      </c>
      <c r="N117">
        <v>1.3146699088916101</v>
      </c>
      <c r="O117">
        <v>3.82337632969845</v>
      </c>
      <c r="P117">
        <v>11.7596461001649</v>
      </c>
      <c r="Q117">
        <v>3.2201391460944397E-2</v>
      </c>
      <c r="R117">
        <v>3.1395553790483698E-4</v>
      </c>
      <c r="S117">
        <v>0</v>
      </c>
      <c r="T117">
        <v>3.2515346998849198E-2</v>
      </c>
      <c r="U117">
        <v>1.2036231745454999E-2</v>
      </c>
      <c r="V117">
        <v>6.1015262508557197E-2</v>
      </c>
      <c r="W117">
        <v>0.105566841252861</v>
      </c>
      <c r="X117">
        <v>3.3657395491249902E-2</v>
      </c>
      <c r="Y117">
        <v>3.28151214171828E-4</v>
      </c>
      <c r="Z117">
        <v>0</v>
      </c>
      <c r="AA117">
        <v>3.3985546705421803E-2</v>
      </c>
      <c r="AB117">
        <v>4.8144926981820199E-2</v>
      </c>
      <c r="AC117">
        <v>0.17432932145301999</v>
      </c>
      <c r="AD117">
        <v>0.25645979514026201</v>
      </c>
      <c r="AE117">
        <v>3882.4153163444298</v>
      </c>
      <c r="AF117">
        <v>300.31162199853901</v>
      </c>
      <c r="AG117">
        <v>0</v>
      </c>
      <c r="AH117">
        <v>4182.7269383429702</v>
      </c>
      <c r="AI117">
        <v>1.5501967759786199E-3</v>
      </c>
      <c r="AJ117">
        <v>1.0549328888237899E-3</v>
      </c>
      <c r="AK117">
        <v>0</v>
      </c>
      <c r="AL117">
        <v>2.60512966480242E-3</v>
      </c>
      <c r="AM117">
        <v>0.61167611416156698</v>
      </c>
      <c r="AN117">
        <v>4.7314218344518599E-2</v>
      </c>
      <c r="AO117">
        <v>0</v>
      </c>
      <c r="AP117">
        <v>0.65899033250608596</v>
      </c>
      <c r="AQ117">
        <v>3.3375311489082599E-2</v>
      </c>
      <c r="AR117">
        <v>2.2712415810789598E-2</v>
      </c>
      <c r="AS117">
        <v>0</v>
      </c>
      <c r="AT117">
        <v>5.60877272998722E-2</v>
      </c>
      <c r="AU117">
        <v>0</v>
      </c>
      <c r="AV117">
        <v>0</v>
      </c>
      <c r="AW117">
        <v>0</v>
      </c>
      <c r="AX117">
        <v>5.60877272998722E-2</v>
      </c>
      <c r="AY117">
        <v>3.7995251558599397E-2</v>
      </c>
      <c r="AZ117">
        <v>2.5856356502223201E-2</v>
      </c>
      <c r="BA117">
        <v>0</v>
      </c>
      <c r="BB117">
        <v>6.3851608060822698E-2</v>
      </c>
      <c r="BC117">
        <v>0</v>
      </c>
      <c r="BD117">
        <v>0</v>
      </c>
      <c r="BE117">
        <v>0</v>
      </c>
      <c r="BF117">
        <v>6.3851608060822698E-2</v>
      </c>
      <c r="BG117">
        <v>0.32435549379341</v>
      </c>
      <c r="BH117">
        <v>0.96175376129596901</v>
      </c>
      <c r="BI117">
        <v>0</v>
      </c>
      <c r="BJ117">
        <v>1.28610925508937</v>
      </c>
      <c r="BK117">
        <v>3.67641514036188E-2</v>
      </c>
      <c r="BL117">
        <v>2.8437714772401599E-3</v>
      </c>
      <c r="BM117">
        <v>0</v>
      </c>
      <c r="BN117">
        <v>3.9607922880859001E-2</v>
      </c>
      <c r="BO117">
        <v>0.88265674164589303</v>
      </c>
      <c r="BP117">
        <v>373.64134049658298</v>
      </c>
    </row>
    <row r="118" spans="1:68" x14ac:dyDescent="0.25">
      <c r="A118" t="s">
        <v>37</v>
      </c>
      <c r="B118">
        <v>2026</v>
      </c>
      <c r="C118" t="s">
        <v>319</v>
      </c>
      <c r="D118">
        <v>2013</v>
      </c>
      <c r="E118" t="s">
        <v>39</v>
      </c>
      <c r="F118" t="s">
        <v>10</v>
      </c>
      <c r="G118">
        <v>447.75753326385097</v>
      </c>
      <c r="H118">
        <v>4168759.4309673598</v>
      </c>
      <c r="I118">
        <v>4168759.4309673598</v>
      </c>
      <c r="J118">
        <v>0</v>
      </c>
      <c r="K118">
        <v>1993523.99989865</v>
      </c>
      <c r="L118">
        <v>0</v>
      </c>
      <c r="M118">
        <v>7.2061335524871701</v>
      </c>
      <c r="N118">
        <v>1.48323483105681</v>
      </c>
      <c r="O118">
        <v>3.10318714168617</v>
      </c>
      <c r="P118">
        <v>11.7925555252301</v>
      </c>
      <c r="Q118">
        <v>3.5554615803863703E-2</v>
      </c>
      <c r="R118">
        <v>3.54210426567254E-4</v>
      </c>
      <c r="S118">
        <v>0</v>
      </c>
      <c r="T118">
        <v>3.5908826230430901E-2</v>
      </c>
      <c r="U118">
        <v>1.37858120206239E-2</v>
      </c>
      <c r="V118">
        <v>6.9843547360144698E-2</v>
      </c>
      <c r="W118">
        <v>0.119538185611199</v>
      </c>
      <c r="X118">
        <v>3.7162237759243398E-2</v>
      </c>
      <c r="Y118">
        <v>3.7022625027113701E-4</v>
      </c>
      <c r="Z118">
        <v>0</v>
      </c>
      <c r="AA118">
        <v>3.7532464009514599E-2</v>
      </c>
      <c r="AB118">
        <v>5.51432480824956E-2</v>
      </c>
      <c r="AC118">
        <v>0.19955299245755601</v>
      </c>
      <c r="AD118">
        <v>0.29222870454956601</v>
      </c>
      <c r="AE118">
        <v>4034.3476152183798</v>
      </c>
      <c r="AF118">
        <v>338.81710907564701</v>
      </c>
      <c r="AG118">
        <v>0</v>
      </c>
      <c r="AH118">
        <v>4373.1647242940298</v>
      </c>
      <c r="AI118">
        <v>1.7364390727130201E-3</v>
      </c>
      <c r="AJ118">
        <v>1.19019473599273E-3</v>
      </c>
      <c r="AK118">
        <v>0</v>
      </c>
      <c r="AL118">
        <v>2.92663380870575E-3</v>
      </c>
      <c r="AM118">
        <v>0.63561310972193796</v>
      </c>
      <c r="AN118">
        <v>5.33807735144586E-2</v>
      </c>
      <c r="AO118">
        <v>0</v>
      </c>
      <c r="AP118">
        <v>0.68899388323639699</v>
      </c>
      <c r="AQ118">
        <v>3.7385057066077899E-2</v>
      </c>
      <c r="AR118">
        <v>2.5624566288590701E-2</v>
      </c>
      <c r="AS118">
        <v>0</v>
      </c>
      <c r="AT118">
        <v>6.3009623354668601E-2</v>
      </c>
      <c r="AU118">
        <v>0</v>
      </c>
      <c r="AV118">
        <v>0</v>
      </c>
      <c r="AW118">
        <v>0</v>
      </c>
      <c r="AX118">
        <v>6.3009623354668601E-2</v>
      </c>
      <c r="AY118">
        <v>4.2560041671007999E-2</v>
      </c>
      <c r="AZ118">
        <v>2.9171618144552401E-2</v>
      </c>
      <c r="BA118">
        <v>0</v>
      </c>
      <c r="BB118">
        <v>7.17316598155604E-2</v>
      </c>
      <c r="BC118">
        <v>0</v>
      </c>
      <c r="BD118">
        <v>0</v>
      </c>
      <c r="BE118">
        <v>0</v>
      </c>
      <c r="BF118">
        <v>7.17316598155604E-2</v>
      </c>
      <c r="BG118">
        <v>0.362087531281782</v>
      </c>
      <c r="BH118">
        <v>1.0850683262817999</v>
      </c>
      <c r="BI118">
        <v>0</v>
      </c>
      <c r="BJ118">
        <v>1.4471558575635901</v>
      </c>
      <c r="BK118">
        <v>3.8202859420091703E-2</v>
      </c>
      <c r="BL118">
        <v>3.2083954139975998E-3</v>
      </c>
      <c r="BM118">
        <v>0</v>
      </c>
      <c r="BN118">
        <v>4.1411254834089299E-2</v>
      </c>
      <c r="BO118">
        <v>1.0109592583792899</v>
      </c>
      <c r="BP118">
        <v>390.65307247738099</v>
      </c>
    </row>
    <row r="119" spans="1:68" x14ac:dyDescent="0.25">
      <c r="A119" t="s">
        <v>37</v>
      </c>
      <c r="B119">
        <v>2026</v>
      </c>
      <c r="C119" t="s">
        <v>319</v>
      </c>
      <c r="D119">
        <v>2014</v>
      </c>
      <c r="E119" t="s">
        <v>39</v>
      </c>
      <c r="F119" t="s">
        <v>10</v>
      </c>
      <c r="G119">
        <v>512.90823262545496</v>
      </c>
      <c r="H119">
        <v>4861599.0656497004</v>
      </c>
      <c r="I119">
        <v>4861599.0656497004</v>
      </c>
      <c r="J119">
        <v>0</v>
      </c>
      <c r="K119">
        <v>2283590.5496243499</v>
      </c>
      <c r="L119">
        <v>0</v>
      </c>
      <c r="M119">
        <v>1.46474570473673</v>
      </c>
      <c r="N119">
        <v>1.6990520521686101</v>
      </c>
      <c r="O119">
        <v>3.5547145812294998</v>
      </c>
      <c r="P119">
        <v>6.7185123381348504</v>
      </c>
      <c r="Q119">
        <v>1.9736632561898601E-2</v>
      </c>
      <c r="R119">
        <v>4.0574960859691397E-4</v>
      </c>
      <c r="S119">
        <v>0</v>
      </c>
      <c r="T119">
        <v>2.01423821704955E-2</v>
      </c>
      <c r="U119">
        <v>1.6076986918656999E-2</v>
      </c>
      <c r="V119">
        <v>8.1339823177629597E-2</v>
      </c>
      <c r="W119">
        <v>0.11755919226678201</v>
      </c>
      <c r="X119">
        <v>2.0629035506337799E-2</v>
      </c>
      <c r="Y119">
        <v>4.24095805410444E-4</v>
      </c>
      <c r="Z119">
        <v>0</v>
      </c>
      <c r="AA119">
        <v>2.1053131311748199E-2</v>
      </c>
      <c r="AB119">
        <v>6.4307947674628205E-2</v>
      </c>
      <c r="AC119">
        <v>0.232399494793227</v>
      </c>
      <c r="AD119">
        <v>0.31776057377960398</v>
      </c>
      <c r="AE119">
        <v>6270.92842230326</v>
      </c>
      <c r="AF119">
        <v>367.49928491749802</v>
      </c>
      <c r="AG119">
        <v>0</v>
      </c>
      <c r="AH119">
        <v>6638.4277072207597</v>
      </c>
      <c r="AI119">
        <v>1.27691602587671E-3</v>
      </c>
      <c r="AJ119">
        <v>1.36337332856989E-3</v>
      </c>
      <c r="AK119">
        <v>0</v>
      </c>
      <c r="AL119">
        <v>2.6402893544466002E-3</v>
      </c>
      <c r="AM119">
        <v>0.98798732670141998</v>
      </c>
      <c r="AN119">
        <v>5.7899661998847197E-2</v>
      </c>
      <c r="AO119">
        <v>0</v>
      </c>
      <c r="AP119">
        <v>1.04588698870026</v>
      </c>
      <c r="AQ119">
        <v>2.74916518789254E-2</v>
      </c>
      <c r="AR119">
        <v>2.9353053897433E-2</v>
      </c>
      <c r="AS119">
        <v>0</v>
      </c>
      <c r="AT119">
        <v>5.6844705776358397E-2</v>
      </c>
      <c r="AU119">
        <v>0</v>
      </c>
      <c r="AV119">
        <v>0</v>
      </c>
      <c r="AW119">
        <v>0</v>
      </c>
      <c r="AX119">
        <v>5.6844705776358397E-2</v>
      </c>
      <c r="AY119">
        <v>3.1297152964187301E-2</v>
      </c>
      <c r="AZ119">
        <v>3.3416217469937698E-2</v>
      </c>
      <c r="BA119">
        <v>0</v>
      </c>
      <c r="BB119">
        <v>6.4713370434125006E-2</v>
      </c>
      <c r="BC119">
        <v>0</v>
      </c>
      <c r="BD119">
        <v>0</v>
      </c>
      <c r="BE119">
        <v>0</v>
      </c>
      <c r="BF119">
        <v>6.4713370434125006E-2</v>
      </c>
      <c r="BG119">
        <v>0.20915632747968599</v>
      </c>
      <c r="BH119">
        <v>1.24295056177901</v>
      </c>
      <c r="BI119">
        <v>0</v>
      </c>
      <c r="BJ119">
        <v>1.4521068892586899</v>
      </c>
      <c r="BK119">
        <v>5.9381942212171197E-2</v>
      </c>
      <c r="BL119">
        <v>3.4799984675905099E-3</v>
      </c>
      <c r="BM119">
        <v>0</v>
      </c>
      <c r="BN119">
        <v>6.2861940679761696E-2</v>
      </c>
      <c r="BO119">
        <v>1.17897870273751</v>
      </c>
      <c r="BP119">
        <v>593.00811740253198</v>
      </c>
    </row>
    <row r="120" spans="1:68" x14ac:dyDescent="0.25">
      <c r="A120" t="s">
        <v>37</v>
      </c>
      <c r="B120">
        <v>2026</v>
      </c>
      <c r="C120" t="s">
        <v>319</v>
      </c>
      <c r="D120">
        <v>2015</v>
      </c>
      <c r="E120" t="s">
        <v>39</v>
      </c>
      <c r="F120" t="s">
        <v>10</v>
      </c>
      <c r="G120">
        <v>619.11194679633502</v>
      </c>
      <c r="H120">
        <v>5989923.64136241</v>
      </c>
      <c r="I120">
        <v>5989923.64136241</v>
      </c>
      <c r="J120">
        <v>0</v>
      </c>
      <c r="K120">
        <v>2756434.9740045099</v>
      </c>
      <c r="L120">
        <v>0</v>
      </c>
      <c r="M120">
        <v>1.77806040313196</v>
      </c>
      <c r="N120">
        <v>2.0508608690915202</v>
      </c>
      <c r="O120">
        <v>4.2907602660716897</v>
      </c>
      <c r="P120">
        <v>8.1196815382951808</v>
      </c>
      <c r="Q120">
        <v>2.4096027969060602E-2</v>
      </c>
      <c r="R120">
        <v>4.8976486262354503E-4</v>
      </c>
      <c r="S120">
        <v>0</v>
      </c>
      <c r="T120">
        <v>2.4585792831684099E-2</v>
      </c>
      <c r="U120">
        <v>1.98082817454776E-2</v>
      </c>
      <c r="V120">
        <v>0.100159403924493</v>
      </c>
      <c r="W120">
        <v>0.14455347850165501</v>
      </c>
      <c r="X120">
        <v>2.5185543429281001E-2</v>
      </c>
      <c r="Y120">
        <v>5.1190985641199195E-4</v>
      </c>
      <c r="Z120">
        <v>0</v>
      </c>
      <c r="AA120">
        <v>2.5697453285692999E-2</v>
      </c>
      <c r="AB120">
        <v>7.9233126981910595E-2</v>
      </c>
      <c r="AC120">
        <v>0.28616972549855302</v>
      </c>
      <c r="AD120">
        <v>0.39110030576615701</v>
      </c>
      <c r="AE120">
        <v>7725.8783704726302</v>
      </c>
      <c r="AF120">
        <v>443.59435715605701</v>
      </c>
      <c r="AG120">
        <v>0</v>
      </c>
      <c r="AH120">
        <v>8169.4727276286803</v>
      </c>
      <c r="AI120">
        <v>1.54599529914692E-3</v>
      </c>
      <c r="AJ120">
        <v>1.6456758967203001E-3</v>
      </c>
      <c r="AK120">
        <v>0</v>
      </c>
      <c r="AL120">
        <v>3.1916711958672201E-3</v>
      </c>
      <c r="AM120">
        <v>1.2172152835480801</v>
      </c>
      <c r="AN120">
        <v>6.9888471618924405E-2</v>
      </c>
      <c r="AO120">
        <v>0</v>
      </c>
      <c r="AP120">
        <v>1.2871037551669999</v>
      </c>
      <c r="AQ120">
        <v>3.3284854845032699E-2</v>
      </c>
      <c r="AR120">
        <v>3.5430950776195298E-2</v>
      </c>
      <c r="AS120">
        <v>0</v>
      </c>
      <c r="AT120">
        <v>6.8715805621228102E-2</v>
      </c>
      <c r="AU120">
        <v>0</v>
      </c>
      <c r="AV120">
        <v>0</v>
      </c>
      <c r="AW120">
        <v>0</v>
      </c>
      <c r="AX120">
        <v>6.8715805621228102E-2</v>
      </c>
      <c r="AY120">
        <v>3.7892273555025002E-2</v>
      </c>
      <c r="AZ120">
        <v>4.0335440409065698E-2</v>
      </c>
      <c r="BA120">
        <v>0</v>
      </c>
      <c r="BB120">
        <v>7.8227713964090798E-2</v>
      </c>
      <c r="BC120">
        <v>0</v>
      </c>
      <c r="BD120">
        <v>0</v>
      </c>
      <c r="BE120">
        <v>0</v>
      </c>
      <c r="BF120">
        <v>7.8227713964090798E-2</v>
      </c>
      <c r="BG120">
        <v>0.25252159992845902</v>
      </c>
      <c r="BH120">
        <v>1.50031817219154</v>
      </c>
      <c r="BI120">
        <v>0</v>
      </c>
      <c r="BJ120">
        <v>1.75283977212</v>
      </c>
      <c r="BK120">
        <v>7.3159448177079395E-2</v>
      </c>
      <c r="BL120">
        <v>4.2005732976634997E-3</v>
      </c>
      <c r="BM120">
        <v>0</v>
      </c>
      <c r="BN120">
        <v>7.7360021474742899E-2</v>
      </c>
      <c r="BO120">
        <v>1.4526069115998701</v>
      </c>
      <c r="BP120">
        <v>729.77576258198701</v>
      </c>
    </row>
    <row r="121" spans="1:68" x14ac:dyDescent="0.25">
      <c r="A121" t="s">
        <v>37</v>
      </c>
      <c r="B121">
        <v>2026</v>
      </c>
      <c r="C121" t="s">
        <v>319</v>
      </c>
      <c r="D121">
        <v>2016</v>
      </c>
      <c r="E121" t="s">
        <v>39</v>
      </c>
      <c r="F121" t="s">
        <v>10</v>
      </c>
      <c r="G121">
        <v>955.05198053399897</v>
      </c>
      <c r="H121">
        <v>9454774.49291192</v>
      </c>
      <c r="I121">
        <v>9454774.49291192</v>
      </c>
      <c r="J121">
        <v>0</v>
      </c>
      <c r="K121">
        <v>4252120.6298126904</v>
      </c>
      <c r="L121">
        <v>0</v>
      </c>
      <c r="M121">
        <v>2.76745769685642</v>
      </c>
      <c r="N121">
        <v>3.1636907427825101</v>
      </c>
      <c r="O121">
        <v>7.6766055694498601</v>
      </c>
      <c r="P121">
        <v>13.607754009088801</v>
      </c>
      <c r="Q121">
        <v>3.7525990532467003E-2</v>
      </c>
      <c r="R121">
        <v>7.5551910194114201E-4</v>
      </c>
      <c r="S121">
        <v>0</v>
      </c>
      <c r="T121">
        <v>3.8281509634408198E-2</v>
      </c>
      <c r="U121">
        <v>3.1266314599123199E-2</v>
      </c>
      <c r="V121">
        <v>0.158073665005002</v>
      </c>
      <c r="W121">
        <v>0.22762148923853301</v>
      </c>
      <c r="X121">
        <v>3.9222749305228399E-2</v>
      </c>
      <c r="Y121">
        <v>7.8968032316455898E-4</v>
      </c>
      <c r="Z121">
        <v>0</v>
      </c>
      <c r="AA121">
        <v>4.0012429628392999E-2</v>
      </c>
      <c r="AB121">
        <v>0.12506525839649299</v>
      </c>
      <c r="AC121">
        <v>0.45163904287143503</v>
      </c>
      <c r="AD121">
        <v>0.61671673089632095</v>
      </c>
      <c r="AE121">
        <v>12196.845173763801</v>
      </c>
      <c r="AF121">
        <v>684.29574255168404</v>
      </c>
      <c r="AG121">
        <v>0</v>
      </c>
      <c r="AH121">
        <v>12881.1409163155</v>
      </c>
      <c r="AI121">
        <v>2.39251553890931E-3</v>
      </c>
      <c r="AJ121">
        <v>2.5386459308576201E-3</v>
      </c>
      <c r="AK121">
        <v>0</v>
      </c>
      <c r="AL121">
        <v>4.9311614697669396E-3</v>
      </c>
      <c r="AM121">
        <v>1.9216179241593201</v>
      </c>
      <c r="AN121">
        <v>0.10781107291103199</v>
      </c>
      <c r="AO121">
        <v>0</v>
      </c>
      <c r="AP121">
        <v>2.0294289970703501</v>
      </c>
      <c r="AQ121">
        <v>5.1510203472820197E-2</v>
      </c>
      <c r="AR121">
        <v>5.4656350739329299E-2</v>
      </c>
      <c r="AS121">
        <v>0</v>
      </c>
      <c r="AT121">
        <v>0.106166554212149</v>
      </c>
      <c r="AU121">
        <v>0</v>
      </c>
      <c r="AV121">
        <v>0</v>
      </c>
      <c r="AW121">
        <v>0</v>
      </c>
      <c r="AX121">
        <v>0.106166554212149</v>
      </c>
      <c r="AY121">
        <v>5.8640445630736601E-2</v>
      </c>
      <c r="AZ121">
        <v>6.2222094804873E-2</v>
      </c>
      <c r="BA121">
        <v>0</v>
      </c>
      <c r="BB121">
        <v>0.120862540435609</v>
      </c>
      <c r="BC121">
        <v>0</v>
      </c>
      <c r="BD121">
        <v>0</v>
      </c>
      <c r="BE121">
        <v>0</v>
      </c>
      <c r="BF121">
        <v>0.120862540435609</v>
      </c>
      <c r="BG121">
        <v>0.39029973894606101</v>
      </c>
      <c r="BH121">
        <v>2.3144147826533699</v>
      </c>
      <c r="BI121">
        <v>0</v>
      </c>
      <c r="BJ121">
        <v>2.7047145215994299</v>
      </c>
      <c r="BK121">
        <v>0.115496830214692</v>
      </c>
      <c r="BL121">
        <v>6.4798714805476996E-3</v>
      </c>
      <c r="BM121">
        <v>0</v>
      </c>
      <c r="BN121">
        <v>0.121976701695239</v>
      </c>
      <c r="BO121">
        <v>2.2928624133342401</v>
      </c>
      <c r="BP121">
        <v>1150.6672154420401</v>
      </c>
    </row>
    <row r="122" spans="1:68" x14ac:dyDescent="0.25">
      <c r="A122" t="s">
        <v>37</v>
      </c>
      <c r="B122">
        <v>2026</v>
      </c>
      <c r="C122" t="s">
        <v>319</v>
      </c>
      <c r="D122">
        <v>2017</v>
      </c>
      <c r="E122" t="s">
        <v>39</v>
      </c>
      <c r="F122" t="s">
        <v>10</v>
      </c>
      <c r="G122">
        <v>885.67287517863599</v>
      </c>
      <c r="H122">
        <v>8992736.0075387806</v>
      </c>
      <c r="I122">
        <v>8992736.0075387806</v>
      </c>
      <c r="J122">
        <v>0</v>
      </c>
      <c r="K122">
        <v>3943228.2017853302</v>
      </c>
      <c r="L122">
        <v>0</v>
      </c>
      <c r="M122">
        <v>2.5956757623828501</v>
      </c>
      <c r="N122">
        <v>2.9338665679426299</v>
      </c>
      <c r="O122">
        <v>7.1189437484912403</v>
      </c>
      <c r="P122">
        <v>12.648486078816701</v>
      </c>
      <c r="Q122">
        <v>3.4891042580347899E-2</v>
      </c>
      <c r="R122">
        <v>7.0063492763443595E-4</v>
      </c>
      <c r="S122">
        <v>0</v>
      </c>
      <c r="T122">
        <v>3.5591677507982401E-2</v>
      </c>
      <c r="U122">
        <v>2.9738383853506599E-2</v>
      </c>
      <c r="V122">
        <v>0.15042488150591399</v>
      </c>
      <c r="W122">
        <v>0.21575494286740299</v>
      </c>
      <c r="X122">
        <v>3.6468660699122898E-2</v>
      </c>
      <c r="Y122">
        <v>7.3231453004061998E-4</v>
      </c>
      <c r="Z122">
        <v>0</v>
      </c>
      <c r="AA122">
        <v>3.7200975229163498E-2</v>
      </c>
      <c r="AB122">
        <v>0.11895353541402599</v>
      </c>
      <c r="AC122">
        <v>0.42978537573118297</v>
      </c>
      <c r="AD122">
        <v>0.585939886374374</v>
      </c>
      <c r="AE122">
        <v>11161.848425792599</v>
      </c>
      <c r="AF122">
        <v>610.59364493432997</v>
      </c>
      <c r="AG122">
        <v>0</v>
      </c>
      <c r="AH122">
        <v>11772.442070727</v>
      </c>
      <c r="AI122">
        <v>2.2231368402541398E-3</v>
      </c>
      <c r="AJ122">
        <v>2.3542277137480602E-3</v>
      </c>
      <c r="AK122">
        <v>0</v>
      </c>
      <c r="AL122">
        <v>4.5773645540021996E-3</v>
      </c>
      <c r="AM122">
        <v>1.7585537650252701</v>
      </c>
      <c r="AN122">
        <v>9.6199277417038903E-2</v>
      </c>
      <c r="AO122">
        <v>0</v>
      </c>
      <c r="AP122">
        <v>1.8547530424423</v>
      </c>
      <c r="AQ122">
        <v>4.7863526538104599E-2</v>
      </c>
      <c r="AR122">
        <v>5.0685877096454397E-2</v>
      </c>
      <c r="AS122">
        <v>0</v>
      </c>
      <c r="AT122">
        <v>9.8549403634558996E-2</v>
      </c>
      <c r="AU122">
        <v>0</v>
      </c>
      <c r="AV122">
        <v>0</v>
      </c>
      <c r="AW122">
        <v>0</v>
      </c>
      <c r="AX122">
        <v>9.8549403634558996E-2</v>
      </c>
      <c r="AY122">
        <v>5.44889815303106E-2</v>
      </c>
      <c r="AZ122">
        <v>5.7702012800030303E-2</v>
      </c>
      <c r="BA122">
        <v>0</v>
      </c>
      <c r="BB122">
        <v>0.11219099433033999</v>
      </c>
      <c r="BC122">
        <v>0</v>
      </c>
      <c r="BD122">
        <v>0</v>
      </c>
      <c r="BE122">
        <v>0</v>
      </c>
      <c r="BF122">
        <v>0.11219099433033999</v>
      </c>
      <c r="BG122">
        <v>0.36362949057744898</v>
      </c>
      <c r="BH122">
        <v>2.1462856856883699</v>
      </c>
      <c r="BI122">
        <v>0</v>
      </c>
      <c r="BJ122">
        <v>2.5099151762658201</v>
      </c>
      <c r="BK122">
        <v>0.105696029928211</v>
      </c>
      <c r="BL122">
        <v>5.7819566891647101E-3</v>
      </c>
      <c r="BM122">
        <v>0</v>
      </c>
      <c r="BN122">
        <v>0.111477986617376</v>
      </c>
      <c r="BO122">
        <v>2.1808141907753398</v>
      </c>
      <c r="BP122">
        <v>1051.62758675501</v>
      </c>
    </row>
    <row r="123" spans="1:68" x14ac:dyDescent="0.25">
      <c r="A123" t="s">
        <v>106</v>
      </c>
      <c r="AE123" s="73">
        <f>SUM(AE116:AE122)*453.6*2000/SUM($H$116:$H$122)</f>
        <v>1102.4667478267943</v>
      </c>
      <c r="AI123" s="74">
        <f>SUM(AI116:AI122)*453.6*2000/SUM($H$116:$H$122)</f>
        <v>3.1966616645259398E-4</v>
      </c>
      <c r="AM123" s="74">
        <f>SUM(AM116:AM122)*453.6*2000/SUM($H$116:$H$122)</f>
        <v>0.17369408508772996</v>
      </c>
    </row>
    <row r="124" spans="1:68" x14ac:dyDescent="0.25">
      <c r="A124" t="s">
        <v>283</v>
      </c>
      <c r="AF124" s="73">
        <f>SUM(AF116:AF122)*453.6*2000/SUM($G$116:$G$122)/312</f>
        <v>2098.2492683985151</v>
      </c>
      <c r="AJ124" s="74">
        <f>SUM(AJ116:AJ122)*453.6*2000/SUM($G$116:$G$122)/312</f>
        <v>7.7537723743206005E-3</v>
      </c>
      <c r="AN124" s="74">
        <f>SUM(AN116:AN122)*453.6*2000/SUM($G$116:$G$122)/312</f>
        <v>0.33058002672542808</v>
      </c>
    </row>
    <row r="125" spans="1:68" x14ac:dyDescent="0.25">
      <c r="A125" t="s">
        <v>320</v>
      </c>
      <c r="H125">
        <f>SUM(H116:H122)/SUM(G116:G122)</f>
        <v>9696.19452900141</v>
      </c>
      <c r="AF125" s="73"/>
      <c r="AJ125" s="74"/>
      <c r="AN125" s="74"/>
      <c r="BP125" s="74">
        <f>SUM(H116:H122)/(SUM(BP116:BP122)*1000)</f>
        <v>8.6801646855933097</v>
      </c>
    </row>
    <row r="127" spans="1:68" x14ac:dyDescent="0.25">
      <c r="A127" t="s">
        <v>37</v>
      </c>
      <c r="B127">
        <v>2027</v>
      </c>
      <c r="C127" t="s">
        <v>318</v>
      </c>
      <c r="D127">
        <v>2011</v>
      </c>
      <c r="E127" t="s">
        <v>39</v>
      </c>
      <c r="F127" t="s">
        <v>10</v>
      </c>
      <c r="G127">
        <v>95.213064150910597</v>
      </c>
      <c r="H127">
        <v>855607.13856547396</v>
      </c>
      <c r="I127">
        <v>855607.13856547396</v>
      </c>
      <c r="J127">
        <v>0</v>
      </c>
      <c r="K127">
        <v>423911.41273525002</v>
      </c>
      <c r="L127">
        <v>0</v>
      </c>
      <c r="M127">
        <v>1.9938618911277399</v>
      </c>
      <c r="N127">
        <v>0.36604692908428998</v>
      </c>
      <c r="O127">
        <v>0.74670231632376505</v>
      </c>
      <c r="P127">
        <v>3.1066111365358</v>
      </c>
      <c r="Q127">
        <v>1.6269272670630799E-2</v>
      </c>
      <c r="R127">
        <v>7.5320809952279403E-5</v>
      </c>
      <c r="S127">
        <v>0</v>
      </c>
      <c r="T127">
        <v>1.6344593480583099E-2</v>
      </c>
      <c r="U127">
        <v>2.8294362798070901E-3</v>
      </c>
      <c r="V127">
        <v>1.43022301426613E-2</v>
      </c>
      <c r="W127">
        <v>3.34762599030516E-2</v>
      </c>
      <c r="X127">
        <v>1.7004896986968498E-2</v>
      </c>
      <c r="Y127">
        <v>7.8726482747177497E-5</v>
      </c>
      <c r="Z127">
        <v>0</v>
      </c>
      <c r="AA127">
        <v>1.70836234697157E-2</v>
      </c>
      <c r="AB127">
        <v>1.13177451192283E-2</v>
      </c>
      <c r="AC127">
        <v>4.0863514693318101E-2</v>
      </c>
      <c r="AD127">
        <v>6.9264883282262296E-2</v>
      </c>
      <c r="AE127">
        <v>922.85615767917102</v>
      </c>
      <c r="AF127">
        <v>74.910746819119595</v>
      </c>
      <c r="AG127">
        <v>0</v>
      </c>
      <c r="AH127">
        <v>997.76690449829096</v>
      </c>
      <c r="AI127">
        <v>1.8160242242400101E-3</v>
      </c>
      <c r="AJ127">
        <v>2.7494905929034799E-4</v>
      </c>
      <c r="AK127">
        <v>0</v>
      </c>
      <c r="AL127">
        <v>2.0909732835303601E-3</v>
      </c>
      <c r="AM127">
        <v>0.14539636346550699</v>
      </c>
      <c r="AN127">
        <v>1.18022186679409E-2</v>
      </c>
      <c r="AO127">
        <v>0</v>
      </c>
      <c r="AP127">
        <v>0.15719858213344801</v>
      </c>
      <c r="AQ127">
        <v>3.9098503554471302E-2</v>
      </c>
      <c r="AR127">
        <v>5.9195778494975796E-3</v>
      </c>
      <c r="AS127">
        <v>0</v>
      </c>
      <c r="AT127">
        <v>4.5018081403968901E-2</v>
      </c>
      <c r="AU127">
        <v>0</v>
      </c>
      <c r="AV127">
        <v>0</v>
      </c>
      <c r="AW127">
        <v>0</v>
      </c>
      <c r="AX127">
        <v>4.5018081403968901E-2</v>
      </c>
      <c r="AY127">
        <v>4.4510670068289099E-2</v>
      </c>
      <c r="AZ127">
        <v>6.7389887757585802E-3</v>
      </c>
      <c r="BA127">
        <v>0</v>
      </c>
      <c r="BB127">
        <v>5.1249658844047703E-2</v>
      </c>
      <c r="BC127">
        <v>0</v>
      </c>
      <c r="BD127">
        <v>0</v>
      </c>
      <c r="BE127">
        <v>0</v>
      </c>
      <c r="BF127">
        <v>5.1249658844047703E-2</v>
      </c>
      <c r="BG127">
        <v>0.11648112294985601</v>
      </c>
      <c r="BH127">
        <v>0.199842952123196</v>
      </c>
      <c r="BI127">
        <v>0</v>
      </c>
      <c r="BJ127">
        <v>0.31632407507305199</v>
      </c>
      <c r="BK127">
        <v>8.73889595526957E-3</v>
      </c>
      <c r="BL127">
        <v>7.0935997656463602E-4</v>
      </c>
      <c r="BM127">
        <v>0</v>
      </c>
      <c r="BN127">
        <v>9.4482559318342096E-3</v>
      </c>
      <c r="BO127">
        <v>0.207491934373258</v>
      </c>
      <c r="BP127">
        <v>89.130122332957995</v>
      </c>
    </row>
    <row r="128" spans="1:68" x14ac:dyDescent="0.25">
      <c r="A128" t="s">
        <v>37</v>
      </c>
      <c r="B128">
        <v>2027</v>
      </c>
      <c r="C128" t="s">
        <v>318</v>
      </c>
      <c r="D128">
        <v>2012</v>
      </c>
      <c r="E128" t="s">
        <v>39</v>
      </c>
      <c r="F128" t="s">
        <v>10</v>
      </c>
      <c r="G128">
        <v>551.72606976493705</v>
      </c>
      <c r="H128">
        <v>5002916.3815274797</v>
      </c>
      <c r="I128">
        <v>5002916.3815274797</v>
      </c>
      <c r="J128">
        <v>0</v>
      </c>
      <c r="K128">
        <v>2456416.8768502399</v>
      </c>
      <c r="L128">
        <v>0</v>
      </c>
      <c r="M128">
        <v>9.2383961182342293</v>
      </c>
      <c r="N128">
        <v>1.82763943224422</v>
      </c>
      <c r="O128">
        <v>5.3152150948349997</v>
      </c>
      <c r="P128">
        <v>16.381250645313401</v>
      </c>
      <c r="Q128">
        <v>4.5950752056448697E-2</v>
      </c>
      <c r="R128">
        <v>4.3645748424415401E-4</v>
      </c>
      <c r="S128">
        <v>0</v>
      </c>
      <c r="T128">
        <v>4.6387209540692899E-2</v>
      </c>
      <c r="U128">
        <v>1.6544313945847301E-2</v>
      </c>
      <c r="V128">
        <v>8.3752556128949399E-2</v>
      </c>
      <c r="W128">
        <v>0.14668407961548899</v>
      </c>
      <c r="X128">
        <v>4.8028441160998997E-2</v>
      </c>
      <c r="Y128">
        <v>4.5619215493027202E-4</v>
      </c>
      <c r="Z128">
        <v>0</v>
      </c>
      <c r="AA128">
        <v>4.8484633315929303E-2</v>
      </c>
      <c r="AB128">
        <v>6.6177255783389496E-2</v>
      </c>
      <c r="AC128">
        <v>0.23929301751128401</v>
      </c>
      <c r="AD128">
        <v>0.35395490661060303</v>
      </c>
      <c r="AE128">
        <v>5337.0600829373798</v>
      </c>
      <c r="AF128">
        <v>417.489864652405</v>
      </c>
      <c r="AG128">
        <v>0</v>
      </c>
      <c r="AH128">
        <v>5754.5499475897896</v>
      </c>
      <c r="AI128">
        <v>2.1535675980738499E-3</v>
      </c>
      <c r="AJ128">
        <v>1.4665559262789999E-3</v>
      </c>
      <c r="AK128">
        <v>0</v>
      </c>
      <c r="AL128">
        <v>3.62012352435286E-3</v>
      </c>
      <c r="AM128">
        <v>0.84085598952658003</v>
      </c>
      <c r="AN128">
        <v>6.5775698194202897E-2</v>
      </c>
      <c r="AO128">
        <v>0</v>
      </c>
      <c r="AP128">
        <v>0.90663168772078295</v>
      </c>
      <c r="AQ128">
        <v>4.6365719831365199E-2</v>
      </c>
      <c r="AR128">
        <v>3.1574546931193499E-2</v>
      </c>
      <c r="AS128">
        <v>0</v>
      </c>
      <c r="AT128">
        <v>7.7940266762558705E-2</v>
      </c>
      <c r="AU128">
        <v>0</v>
      </c>
      <c r="AV128">
        <v>0</v>
      </c>
      <c r="AW128">
        <v>0</v>
      </c>
      <c r="AX128">
        <v>7.7940266762558705E-2</v>
      </c>
      <c r="AY128">
        <v>5.2783842609664497E-2</v>
      </c>
      <c r="AZ128">
        <v>3.5945218185961497E-2</v>
      </c>
      <c r="BA128">
        <v>0</v>
      </c>
      <c r="BB128">
        <v>8.8729060795626105E-2</v>
      </c>
      <c r="BC128">
        <v>0</v>
      </c>
      <c r="BD128">
        <v>0</v>
      </c>
      <c r="BE128">
        <v>0</v>
      </c>
      <c r="BF128">
        <v>8.8729060795626105E-2</v>
      </c>
      <c r="BG128">
        <v>0.44595844574853299</v>
      </c>
      <c r="BH128">
        <v>1.33701934330849</v>
      </c>
      <c r="BI128">
        <v>0</v>
      </c>
      <c r="BJ128">
        <v>1.78297778905702</v>
      </c>
      <c r="BK128">
        <v>5.0538767481493503E-2</v>
      </c>
      <c r="BL128">
        <v>3.9533793638567303E-3</v>
      </c>
      <c r="BM128">
        <v>0</v>
      </c>
      <c r="BN128">
        <v>5.4492146845350198E-2</v>
      </c>
      <c r="BO128">
        <v>1.21324934157426</v>
      </c>
      <c r="BP128">
        <v>514.05166726561094</v>
      </c>
    </row>
    <row r="129" spans="1:68" x14ac:dyDescent="0.25">
      <c r="A129" t="s">
        <v>37</v>
      </c>
      <c r="B129">
        <v>2027</v>
      </c>
      <c r="C129" t="s">
        <v>318</v>
      </c>
      <c r="D129">
        <v>2013</v>
      </c>
      <c r="E129" t="s">
        <v>39</v>
      </c>
      <c r="F129" t="s">
        <v>10</v>
      </c>
      <c r="G129">
        <v>520.14823065071801</v>
      </c>
      <c r="H129">
        <v>4774160.5531006698</v>
      </c>
      <c r="I129">
        <v>4774160.5531006698</v>
      </c>
      <c r="J129">
        <v>0</v>
      </c>
      <c r="K129">
        <v>2315824.7584323501</v>
      </c>
      <c r="L129">
        <v>0</v>
      </c>
      <c r="M129">
        <v>8.3913223748953101</v>
      </c>
      <c r="N129">
        <v>1.7230351601010201</v>
      </c>
      <c r="O129">
        <v>3.6048914450646699</v>
      </c>
      <c r="P129">
        <v>13.719248980061</v>
      </c>
      <c r="Q129">
        <v>4.2405444161769099E-2</v>
      </c>
      <c r="R129">
        <v>4.11477000317546E-4</v>
      </c>
      <c r="S129">
        <v>0</v>
      </c>
      <c r="T129">
        <v>4.2816921162086699E-2</v>
      </c>
      <c r="U129">
        <v>1.5787833534460099E-2</v>
      </c>
      <c r="V129">
        <v>7.9873030678007495E-2</v>
      </c>
      <c r="W129">
        <v>0.13847778537455399</v>
      </c>
      <c r="X129">
        <v>4.4322830175392798E-2</v>
      </c>
      <c r="Y129">
        <v>4.3008216436975899E-4</v>
      </c>
      <c r="Z129">
        <v>0</v>
      </c>
      <c r="AA129">
        <v>4.4752912339762502E-2</v>
      </c>
      <c r="AB129">
        <v>6.3151334137840603E-2</v>
      </c>
      <c r="AC129">
        <v>0.228208659080021</v>
      </c>
      <c r="AD129">
        <v>0.33611290555762402</v>
      </c>
      <c r="AE129">
        <v>4620.6583489698296</v>
      </c>
      <c r="AF129">
        <v>393.59498547183199</v>
      </c>
      <c r="AG129">
        <v>0</v>
      </c>
      <c r="AH129">
        <v>5014.2533344416597</v>
      </c>
      <c r="AI129">
        <v>2.0131023587867899E-3</v>
      </c>
      <c r="AJ129">
        <v>1.38261813607859E-3</v>
      </c>
      <c r="AK129">
        <v>0</v>
      </c>
      <c r="AL129">
        <v>3.3957204948653901E-3</v>
      </c>
      <c r="AM129">
        <v>0.727986604593161</v>
      </c>
      <c r="AN129">
        <v>6.2011050248373299E-2</v>
      </c>
      <c r="AO129">
        <v>0</v>
      </c>
      <c r="AP129">
        <v>0.78999765484153395</v>
      </c>
      <c r="AQ129">
        <v>4.3341541748144197E-2</v>
      </c>
      <c r="AR129">
        <v>2.9767389325749901E-2</v>
      </c>
      <c r="AS129">
        <v>0</v>
      </c>
      <c r="AT129">
        <v>7.3108931073894101E-2</v>
      </c>
      <c r="AU129">
        <v>0</v>
      </c>
      <c r="AV129">
        <v>0</v>
      </c>
      <c r="AW129">
        <v>0</v>
      </c>
      <c r="AX129">
        <v>7.3108931073894101E-2</v>
      </c>
      <c r="AY129">
        <v>4.9341046066250401E-2</v>
      </c>
      <c r="AZ129">
        <v>3.3887906815329799E-2</v>
      </c>
      <c r="BA129">
        <v>0</v>
      </c>
      <c r="BB129">
        <v>8.3228952881580207E-2</v>
      </c>
      <c r="BC129">
        <v>0</v>
      </c>
      <c r="BD129">
        <v>0</v>
      </c>
      <c r="BE129">
        <v>0</v>
      </c>
      <c r="BF129">
        <v>8.3228952881580207E-2</v>
      </c>
      <c r="BG129">
        <v>0.41538262014562599</v>
      </c>
      <c r="BH129">
        <v>1.2604955318932201</v>
      </c>
      <c r="BI129">
        <v>0</v>
      </c>
      <c r="BJ129">
        <v>1.6758781520388499</v>
      </c>
      <c r="BK129">
        <v>4.3754871461271397E-2</v>
      </c>
      <c r="BL129">
        <v>3.72710914689474E-3</v>
      </c>
      <c r="BM129">
        <v>0</v>
      </c>
      <c r="BN129">
        <v>4.7481980608166198E-2</v>
      </c>
      <c r="BO129">
        <v>1.15777412730826</v>
      </c>
      <c r="BP129">
        <v>447.92126406713498</v>
      </c>
    </row>
    <row r="130" spans="1:68" x14ac:dyDescent="0.25">
      <c r="A130" t="s">
        <v>37</v>
      </c>
      <c r="B130">
        <v>2027</v>
      </c>
      <c r="C130" t="s">
        <v>318</v>
      </c>
      <c r="D130">
        <v>2014</v>
      </c>
      <c r="E130" t="s">
        <v>39</v>
      </c>
      <c r="F130" t="s">
        <v>10</v>
      </c>
      <c r="G130">
        <v>452.01600797628799</v>
      </c>
      <c r="H130">
        <v>4212022.7824547701</v>
      </c>
      <c r="I130">
        <v>4212022.7824547701</v>
      </c>
      <c r="J130">
        <v>0</v>
      </c>
      <c r="K130">
        <v>2012483.75135234</v>
      </c>
      <c r="L130">
        <v>0</v>
      </c>
      <c r="M130">
        <v>1.2764825544809799</v>
      </c>
      <c r="N130">
        <v>1.49734138996741</v>
      </c>
      <c r="O130">
        <v>3.1327005345139298</v>
      </c>
      <c r="P130">
        <v>5.9065244789623303</v>
      </c>
      <c r="Q130">
        <v>1.7656240855040001E-2</v>
      </c>
      <c r="R130">
        <v>3.5757920549861098E-4</v>
      </c>
      <c r="S130">
        <v>0</v>
      </c>
      <c r="T130">
        <v>1.8013820060538699E-2</v>
      </c>
      <c r="U130">
        <v>1.3928881065711E-2</v>
      </c>
      <c r="V130">
        <v>7.0384389489657098E-2</v>
      </c>
      <c r="W130">
        <v>0.102327090615906</v>
      </c>
      <c r="X130">
        <v>1.8454577718096499E-2</v>
      </c>
      <c r="Y130">
        <v>3.73747350437034E-4</v>
      </c>
      <c r="Z130">
        <v>0</v>
      </c>
      <c r="AA130">
        <v>1.8828325068533599E-2</v>
      </c>
      <c r="AB130">
        <v>5.5715524262844297E-2</v>
      </c>
      <c r="AC130">
        <v>0.201098255684734</v>
      </c>
      <c r="AD130">
        <v>0.27564210501611203</v>
      </c>
      <c r="AE130">
        <v>5438.6296659939599</v>
      </c>
      <c r="AF130">
        <v>323.869942294027</v>
      </c>
      <c r="AG130">
        <v>0</v>
      </c>
      <c r="AH130">
        <v>5762.4996082879898</v>
      </c>
      <c r="AI130">
        <v>1.12926998552199E-3</v>
      </c>
      <c r="AJ130">
        <v>1.20151428688704E-3</v>
      </c>
      <c r="AK130">
        <v>0</v>
      </c>
      <c r="AL130">
        <v>2.33078427240903E-3</v>
      </c>
      <c r="AM130">
        <v>0.85685831870025497</v>
      </c>
      <c r="AN130">
        <v>5.1025841300943099E-2</v>
      </c>
      <c r="AO130">
        <v>0</v>
      </c>
      <c r="AP130">
        <v>0.90788416000119798</v>
      </c>
      <c r="AQ130">
        <v>2.4312873117849899E-2</v>
      </c>
      <c r="AR130">
        <v>2.5868273115277701E-2</v>
      </c>
      <c r="AS130">
        <v>0</v>
      </c>
      <c r="AT130">
        <v>5.0181146233127603E-2</v>
      </c>
      <c r="AU130">
        <v>0</v>
      </c>
      <c r="AV130">
        <v>0</v>
      </c>
      <c r="AW130">
        <v>0</v>
      </c>
      <c r="AX130">
        <v>5.0181146233127603E-2</v>
      </c>
      <c r="AY130">
        <v>2.7678355317438601E-2</v>
      </c>
      <c r="AZ130">
        <v>2.9449059815457899E-2</v>
      </c>
      <c r="BA130">
        <v>0</v>
      </c>
      <c r="BB130">
        <v>5.71274151328965E-2</v>
      </c>
      <c r="BC130">
        <v>0</v>
      </c>
      <c r="BD130">
        <v>0</v>
      </c>
      <c r="BE130">
        <v>0</v>
      </c>
      <c r="BF130">
        <v>5.71274151328965E-2</v>
      </c>
      <c r="BG130">
        <v>0.182788442237204</v>
      </c>
      <c r="BH130">
        <v>1.09538805445041</v>
      </c>
      <c r="BI130">
        <v>0</v>
      </c>
      <c r="BJ130">
        <v>1.2781764966876199</v>
      </c>
      <c r="BK130">
        <v>5.1500570695532599E-2</v>
      </c>
      <c r="BL130">
        <v>3.0668546828189402E-3</v>
      </c>
      <c r="BM130">
        <v>0</v>
      </c>
      <c r="BN130">
        <v>5.4567425378351499E-2</v>
      </c>
      <c r="BO130">
        <v>1.0214509853448299</v>
      </c>
      <c r="BP130">
        <v>514.76180730667897</v>
      </c>
    </row>
    <row r="131" spans="1:68" x14ac:dyDescent="0.25">
      <c r="A131" t="s">
        <v>37</v>
      </c>
      <c r="B131">
        <v>2027</v>
      </c>
      <c r="C131" t="s">
        <v>318</v>
      </c>
      <c r="D131">
        <v>2015</v>
      </c>
      <c r="E131" t="s">
        <v>39</v>
      </c>
      <c r="F131" t="s">
        <v>10</v>
      </c>
      <c r="G131">
        <v>817.23241063930402</v>
      </c>
      <c r="H131">
        <v>7752765.3284656303</v>
      </c>
      <c r="I131">
        <v>7752765.3284656303</v>
      </c>
      <c r="J131">
        <v>0</v>
      </c>
      <c r="K131">
        <v>3638514.8279447299</v>
      </c>
      <c r="L131">
        <v>0</v>
      </c>
      <c r="M131">
        <v>2.31500513795541</v>
      </c>
      <c r="N131">
        <v>2.7071517204701698</v>
      </c>
      <c r="O131">
        <v>5.6638357147876501</v>
      </c>
      <c r="P131">
        <v>10.6859925732132</v>
      </c>
      <c r="Q131">
        <v>3.2260639600192702E-2</v>
      </c>
      <c r="R131">
        <v>6.4649328994437801E-4</v>
      </c>
      <c r="S131">
        <v>0</v>
      </c>
      <c r="T131">
        <v>3.2907132890137102E-2</v>
      </c>
      <c r="U131">
        <v>2.5637882738998401E-2</v>
      </c>
      <c r="V131">
        <v>0.129454239803733</v>
      </c>
      <c r="W131">
        <v>0.187999255432868</v>
      </c>
      <c r="X131">
        <v>3.3719322568445398E-2</v>
      </c>
      <c r="Y131">
        <v>6.7572484774417699E-4</v>
      </c>
      <c r="Z131">
        <v>0</v>
      </c>
      <c r="AA131">
        <v>3.4395047416189602E-2</v>
      </c>
      <c r="AB131">
        <v>0.10255153095599299</v>
      </c>
      <c r="AC131">
        <v>0.36986925658209502</v>
      </c>
      <c r="AD131">
        <v>0.50681583495427796</v>
      </c>
      <c r="AE131">
        <v>10007.4950913228</v>
      </c>
      <c r="AF131">
        <v>585.54787663281797</v>
      </c>
      <c r="AG131">
        <v>0</v>
      </c>
      <c r="AH131">
        <v>10593.0429679556</v>
      </c>
      <c r="AI131">
        <v>2.0462694524377798E-3</v>
      </c>
      <c r="AJ131">
        <v>2.17230451967038E-3</v>
      </c>
      <c r="AK131">
        <v>0</v>
      </c>
      <c r="AL131">
        <v>4.2185739721081602E-3</v>
      </c>
      <c r="AM131">
        <v>1.5766849270816701</v>
      </c>
      <c r="AN131">
        <v>9.22533064215183E-2</v>
      </c>
      <c r="AO131">
        <v>0</v>
      </c>
      <c r="AP131">
        <v>1.6689382335031899</v>
      </c>
      <c r="AQ131">
        <v>4.4055620179310202E-2</v>
      </c>
      <c r="AR131">
        <v>4.6769120615266203E-2</v>
      </c>
      <c r="AS131">
        <v>0</v>
      </c>
      <c r="AT131">
        <v>9.0824740794576406E-2</v>
      </c>
      <c r="AU131">
        <v>0</v>
      </c>
      <c r="AV131">
        <v>0</v>
      </c>
      <c r="AW131">
        <v>0</v>
      </c>
      <c r="AX131">
        <v>9.0824740794576406E-2</v>
      </c>
      <c r="AY131">
        <v>5.0153970003562497E-2</v>
      </c>
      <c r="AZ131">
        <v>5.3243083694748297E-2</v>
      </c>
      <c r="BA131">
        <v>0</v>
      </c>
      <c r="BB131">
        <v>0.10339705369831</v>
      </c>
      <c r="BC131">
        <v>0</v>
      </c>
      <c r="BD131">
        <v>0</v>
      </c>
      <c r="BE131">
        <v>0</v>
      </c>
      <c r="BF131">
        <v>0.10339705369831</v>
      </c>
      <c r="BG131">
        <v>0.33023343449486697</v>
      </c>
      <c r="BH131">
        <v>1.98043123368976</v>
      </c>
      <c r="BI131">
        <v>0</v>
      </c>
      <c r="BJ131">
        <v>2.3106646681846299</v>
      </c>
      <c r="BK131">
        <v>9.4764994141529404E-2</v>
      </c>
      <c r="BL131">
        <v>5.5447882404466202E-3</v>
      </c>
      <c r="BM131">
        <v>0</v>
      </c>
      <c r="BN131">
        <v>0.10030978238197601</v>
      </c>
      <c r="BO131">
        <v>1.8801108619106699</v>
      </c>
      <c r="BP131">
        <v>946.27233210037105</v>
      </c>
    </row>
    <row r="132" spans="1:68" x14ac:dyDescent="0.25">
      <c r="A132" t="s">
        <v>37</v>
      </c>
      <c r="B132">
        <v>2027</v>
      </c>
      <c r="C132" t="s">
        <v>318</v>
      </c>
      <c r="D132">
        <v>2016</v>
      </c>
      <c r="E132" t="s">
        <v>39</v>
      </c>
      <c r="F132" t="s">
        <v>10</v>
      </c>
      <c r="G132">
        <v>885.73390777663099</v>
      </c>
      <c r="H132">
        <v>8576209.8109017592</v>
      </c>
      <c r="I132">
        <v>8576209.8109017592</v>
      </c>
      <c r="J132">
        <v>0</v>
      </c>
      <c r="K132">
        <v>3943499.9335594298</v>
      </c>
      <c r="L132">
        <v>0</v>
      </c>
      <c r="M132">
        <v>2.5413039295075399</v>
      </c>
      <c r="N132">
        <v>2.93406874360327</v>
      </c>
      <c r="O132">
        <v>7.1194343219791802</v>
      </c>
      <c r="P132">
        <v>12.5948069950899</v>
      </c>
      <c r="Q132">
        <v>3.5120561645006897E-2</v>
      </c>
      <c r="R132">
        <v>7.0068320908353305E-4</v>
      </c>
      <c r="S132">
        <v>0</v>
      </c>
      <c r="T132">
        <v>3.5821244854090502E-2</v>
      </c>
      <c r="U132">
        <v>2.83609592398779E-2</v>
      </c>
      <c r="V132">
        <v>0.14328633862703799</v>
      </c>
      <c r="W132">
        <v>0.20746854272100601</v>
      </c>
      <c r="X132">
        <v>3.6708557597409999E-2</v>
      </c>
      <c r="Y132">
        <v>7.3236499456259905E-4</v>
      </c>
      <c r="Z132">
        <v>0</v>
      </c>
      <c r="AA132">
        <v>3.7440922591972597E-2</v>
      </c>
      <c r="AB132">
        <v>0.113443836959511</v>
      </c>
      <c r="AC132">
        <v>0.409389538934395</v>
      </c>
      <c r="AD132">
        <v>0.56027429848587895</v>
      </c>
      <c r="AE132">
        <v>11075.2156303675</v>
      </c>
      <c r="AF132">
        <v>634.62927094947997</v>
      </c>
      <c r="AG132">
        <v>0</v>
      </c>
      <c r="AH132">
        <v>11709.844901316999</v>
      </c>
      <c r="AI132">
        <v>2.2260024196374801E-3</v>
      </c>
      <c r="AJ132">
        <v>2.3543899459192502E-3</v>
      </c>
      <c r="AK132">
        <v>0</v>
      </c>
      <c r="AL132">
        <v>4.5803923655567402E-3</v>
      </c>
      <c r="AM132">
        <v>1.7449047328257701</v>
      </c>
      <c r="AN132">
        <v>9.9986100083973503E-2</v>
      </c>
      <c r="AO132">
        <v>0</v>
      </c>
      <c r="AP132">
        <v>1.84489083290974</v>
      </c>
      <c r="AQ132">
        <v>4.7925221676423498E-2</v>
      </c>
      <c r="AR132">
        <v>5.0689369910612597E-2</v>
      </c>
      <c r="AS132">
        <v>0</v>
      </c>
      <c r="AT132">
        <v>9.8614591587036199E-2</v>
      </c>
      <c r="AU132">
        <v>0</v>
      </c>
      <c r="AV132">
        <v>0</v>
      </c>
      <c r="AW132">
        <v>0</v>
      </c>
      <c r="AX132">
        <v>9.8614591587036199E-2</v>
      </c>
      <c r="AY132">
        <v>5.4559216748973301E-2</v>
      </c>
      <c r="AZ132">
        <v>5.7705989103071897E-2</v>
      </c>
      <c r="BA132">
        <v>0</v>
      </c>
      <c r="BB132">
        <v>0.112265205852045</v>
      </c>
      <c r="BC132">
        <v>0</v>
      </c>
      <c r="BD132">
        <v>0</v>
      </c>
      <c r="BE132">
        <v>0</v>
      </c>
      <c r="BF132">
        <v>0.112265205852045</v>
      </c>
      <c r="BG132">
        <v>0.35975322156602102</v>
      </c>
      <c r="BH132">
        <v>2.1464335883677799</v>
      </c>
      <c r="BI132">
        <v>0</v>
      </c>
      <c r="BJ132">
        <v>2.5061868099338001</v>
      </c>
      <c r="BK132">
        <v>0.10487566916100501</v>
      </c>
      <c r="BL132">
        <v>6.0095596944850496E-3</v>
      </c>
      <c r="BM132">
        <v>0</v>
      </c>
      <c r="BN132">
        <v>0.11088522885549</v>
      </c>
      <c r="BO132">
        <v>2.0798030813983699</v>
      </c>
      <c r="BP132">
        <v>1046.03580640826</v>
      </c>
    </row>
    <row r="133" spans="1:68" x14ac:dyDescent="0.25">
      <c r="A133" t="s">
        <v>37</v>
      </c>
      <c r="B133">
        <v>2027</v>
      </c>
      <c r="C133" t="s">
        <v>318</v>
      </c>
      <c r="D133">
        <v>2017</v>
      </c>
      <c r="E133" t="s">
        <v>39</v>
      </c>
      <c r="F133" t="s">
        <v>10</v>
      </c>
      <c r="G133">
        <v>612.12058108524195</v>
      </c>
      <c r="H133">
        <v>6065043.9193860702</v>
      </c>
      <c r="I133">
        <v>6065043.9193860702</v>
      </c>
      <c r="J133">
        <v>0</v>
      </c>
      <c r="K133">
        <v>2725307.7359309499</v>
      </c>
      <c r="L133">
        <v>0</v>
      </c>
      <c r="M133">
        <v>1.7683566412905101</v>
      </c>
      <c r="N133">
        <v>2.02770137680153</v>
      </c>
      <c r="O133">
        <v>4.9201596957120399</v>
      </c>
      <c r="P133">
        <v>8.7162177138040899</v>
      </c>
      <c r="Q133">
        <v>2.44733869996973E-2</v>
      </c>
      <c r="R133">
        <v>4.84234158063921E-4</v>
      </c>
      <c r="S133">
        <v>0</v>
      </c>
      <c r="T133">
        <v>2.49576211577613E-2</v>
      </c>
      <c r="U133">
        <v>2.00566995419263E-2</v>
      </c>
      <c r="V133">
        <v>0.101295413150411</v>
      </c>
      <c r="W133">
        <v>0.14630973385009799</v>
      </c>
      <c r="X133">
        <v>2.5579964960777201E-2</v>
      </c>
      <c r="Y133">
        <v>5.0612907793431896E-4</v>
      </c>
      <c r="Z133">
        <v>0</v>
      </c>
      <c r="AA133">
        <v>2.6086094038711601E-2</v>
      </c>
      <c r="AB133">
        <v>8.0226798167705393E-2</v>
      </c>
      <c r="AC133">
        <v>0.28941546614403102</v>
      </c>
      <c r="AD133">
        <v>0.39572835835044801</v>
      </c>
      <c r="AE133">
        <v>7534.4657344671796</v>
      </c>
      <c r="AF133">
        <v>422.00336853349899</v>
      </c>
      <c r="AG133">
        <v>0</v>
      </c>
      <c r="AH133">
        <v>7956.4691030006798</v>
      </c>
      <c r="AI133">
        <v>1.5418337599526701E-3</v>
      </c>
      <c r="AJ133">
        <v>1.6270919845611099E-3</v>
      </c>
      <c r="AK133">
        <v>0</v>
      </c>
      <c r="AL133">
        <v>3.16892574451378E-3</v>
      </c>
      <c r="AM133">
        <v>1.1870581447947</v>
      </c>
      <c r="AN133">
        <v>6.6486802568744605E-2</v>
      </c>
      <c r="AO133">
        <v>0</v>
      </c>
      <c r="AP133">
        <v>1.2535449473634399</v>
      </c>
      <c r="AQ133">
        <v>3.31952580473652E-2</v>
      </c>
      <c r="AR133">
        <v>3.5030844243521701E-2</v>
      </c>
      <c r="AS133">
        <v>0</v>
      </c>
      <c r="AT133">
        <v>6.8226102290886895E-2</v>
      </c>
      <c r="AU133">
        <v>0</v>
      </c>
      <c r="AV133">
        <v>0</v>
      </c>
      <c r="AW133">
        <v>0</v>
      </c>
      <c r="AX133">
        <v>6.8226102290886895E-2</v>
      </c>
      <c r="AY133">
        <v>3.7790274421104199E-2</v>
      </c>
      <c r="AZ133">
        <v>3.9879949578241598E-2</v>
      </c>
      <c r="BA133">
        <v>0</v>
      </c>
      <c r="BB133">
        <v>7.7670223999345894E-2</v>
      </c>
      <c r="BC133">
        <v>0</v>
      </c>
      <c r="BD133">
        <v>0</v>
      </c>
      <c r="BE133">
        <v>0</v>
      </c>
      <c r="BF133">
        <v>7.7670223999345894E-2</v>
      </c>
      <c r="BG133">
        <v>0.248983761561338</v>
      </c>
      <c r="BH133">
        <v>1.4833757224792901</v>
      </c>
      <c r="BI133">
        <v>0</v>
      </c>
      <c r="BJ133">
        <v>1.73235948404063</v>
      </c>
      <c r="BK133">
        <v>7.1346884976783695E-2</v>
      </c>
      <c r="BL133">
        <v>3.9961195465844203E-3</v>
      </c>
      <c r="BM133">
        <v>0</v>
      </c>
      <c r="BN133">
        <v>7.5343004523368201E-2</v>
      </c>
      <c r="BO133">
        <v>1.4708242114507299</v>
      </c>
      <c r="BP133">
        <v>710.74823317119296</v>
      </c>
    </row>
    <row r="134" spans="1:68" x14ac:dyDescent="0.25">
      <c r="A134" t="s">
        <v>106</v>
      </c>
      <c r="AE134" s="73">
        <f>SUM(AE127:AE133)*453.6*2000/SUM($H$127:$H$133)</f>
        <v>1094.7282319861117</v>
      </c>
      <c r="AI134" s="74">
        <f>SUM(AI127:AI133)*453.6*2000/SUM($H$127:$H$133)</f>
        <v>3.149014965842489E-4</v>
      </c>
      <c r="AM134" s="74">
        <f>SUM(AM127:AM133)*453.6*2000/SUM($H$127:$H$133)</f>
        <v>0.1724748787656033</v>
      </c>
    </row>
    <row r="135" spans="1:68" x14ac:dyDescent="0.25">
      <c r="A135" t="s">
        <v>283</v>
      </c>
      <c r="AF135" s="73">
        <f>SUM(AF127:AF133)*453.6*2000/SUM($G$127:$G$133)/312</f>
        <v>2107.8981449532243</v>
      </c>
      <c r="AJ135" s="74">
        <f>SUM(AJ127:AJ133)*453.6*2000/SUM($G$127:$G$133)/312</f>
        <v>7.7451617832190811E-3</v>
      </c>
      <c r="AN135" s="74">
        <f>SUM(AN127:AN133)*453.6*2000/SUM($G$127:$G$133)/312</f>
        <v>0.33210021115602312</v>
      </c>
    </row>
    <row r="136" spans="1:68" x14ac:dyDescent="0.25">
      <c r="A136" t="s">
        <v>320</v>
      </c>
      <c r="H136">
        <f>SUM(H127:H133)/SUM(G127:G133)</f>
        <v>9465.4105011180018</v>
      </c>
      <c r="AF136" s="73"/>
      <c r="AJ136" s="74"/>
      <c r="AN136" s="74"/>
      <c r="BP136" s="74">
        <f>SUM(H127:H133)/(SUM(BP127:BP133)*1000)</f>
        <v>8.723216917091273</v>
      </c>
    </row>
    <row r="138" spans="1:68" x14ac:dyDescent="0.25">
      <c r="A138" t="s">
        <v>37</v>
      </c>
      <c r="B138">
        <v>2027</v>
      </c>
      <c r="C138" t="s">
        <v>319</v>
      </c>
      <c r="D138">
        <v>2011</v>
      </c>
      <c r="E138" t="s">
        <v>39</v>
      </c>
      <c r="F138" t="s">
        <v>10</v>
      </c>
      <c r="G138">
        <v>134.19464562486499</v>
      </c>
      <c r="H138">
        <v>1204811.90647814</v>
      </c>
      <c r="I138">
        <v>1204811.90647814</v>
      </c>
      <c r="J138">
        <v>0</v>
      </c>
      <c r="K138">
        <v>597466.76903685206</v>
      </c>
      <c r="L138">
        <v>0</v>
      </c>
      <c r="M138">
        <v>2.81984511351058</v>
      </c>
      <c r="N138">
        <v>0.51591174350484603</v>
      </c>
      <c r="O138">
        <v>1.05241285552485</v>
      </c>
      <c r="P138">
        <v>4.3881697125402797</v>
      </c>
      <c r="Q138">
        <v>2.25149012575659E-2</v>
      </c>
      <c r="R138">
        <v>1.06158219881499E-4</v>
      </c>
      <c r="S138">
        <v>0</v>
      </c>
      <c r="T138">
        <v>2.26210594774474E-2</v>
      </c>
      <c r="U138">
        <v>3.9842333763696596E-3</v>
      </c>
      <c r="V138">
        <v>2.0188038433135599E-2</v>
      </c>
      <c r="W138">
        <v>4.6793331286952698E-2</v>
      </c>
      <c r="X138">
        <v>2.3532925184038399E-2</v>
      </c>
      <c r="Y138">
        <v>1.10958223514416E-4</v>
      </c>
      <c r="Z138">
        <v>0</v>
      </c>
      <c r="AA138">
        <v>2.3643883407552801E-2</v>
      </c>
      <c r="AB138">
        <v>1.59369335054786E-2</v>
      </c>
      <c r="AC138">
        <v>5.7680109808959101E-2</v>
      </c>
      <c r="AD138">
        <v>9.7260926721990604E-2</v>
      </c>
      <c r="AE138">
        <v>1303.88771760483</v>
      </c>
      <c r="AF138">
        <v>105.580271074484</v>
      </c>
      <c r="AG138">
        <v>0</v>
      </c>
      <c r="AH138">
        <v>1409.4679886793101</v>
      </c>
      <c r="AI138">
        <v>2.5738222921826799E-3</v>
      </c>
      <c r="AJ138">
        <v>3.8751711128503201E-4</v>
      </c>
      <c r="AK138">
        <v>0</v>
      </c>
      <c r="AL138">
        <v>2.9613394034677101E-3</v>
      </c>
      <c r="AM138">
        <v>0.20542804090276301</v>
      </c>
      <c r="AN138">
        <v>1.6634214704204599E-2</v>
      </c>
      <c r="AO138">
        <v>0</v>
      </c>
      <c r="AP138">
        <v>0.22206225560696699</v>
      </c>
      <c r="AQ138">
        <v>5.54136881525331E-2</v>
      </c>
      <c r="AR138">
        <v>8.3431371403302305E-3</v>
      </c>
      <c r="AS138">
        <v>0</v>
      </c>
      <c r="AT138">
        <v>6.3756825292863306E-2</v>
      </c>
      <c r="AU138">
        <v>0</v>
      </c>
      <c r="AV138">
        <v>0</v>
      </c>
      <c r="AW138">
        <v>0</v>
      </c>
      <c r="AX138">
        <v>6.3756825292863306E-2</v>
      </c>
      <c r="AY138">
        <v>6.3084265800305503E-2</v>
      </c>
      <c r="AZ138">
        <v>9.4980265439151106E-3</v>
      </c>
      <c r="BA138">
        <v>0</v>
      </c>
      <c r="BB138">
        <v>7.2582292344220603E-2</v>
      </c>
      <c r="BC138">
        <v>0</v>
      </c>
      <c r="BD138">
        <v>0</v>
      </c>
      <c r="BE138">
        <v>0</v>
      </c>
      <c r="BF138">
        <v>7.2582292344220603E-2</v>
      </c>
      <c r="BG138">
        <v>0.16705815138224001</v>
      </c>
      <c r="BH138">
        <v>0.28166149655989198</v>
      </c>
      <c r="BI138">
        <v>0</v>
      </c>
      <c r="BJ138">
        <v>0.44871964794213198</v>
      </c>
      <c r="BK138">
        <v>1.2347036975034E-2</v>
      </c>
      <c r="BL138">
        <v>9.9978203122077407E-4</v>
      </c>
      <c r="BM138">
        <v>0</v>
      </c>
      <c r="BN138">
        <v>1.3346819006254699E-2</v>
      </c>
      <c r="BO138">
        <v>0.29217703051218002</v>
      </c>
      <c r="BP138">
        <v>125.907217095504</v>
      </c>
    </row>
    <row r="139" spans="1:68" x14ac:dyDescent="0.25">
      <c r="A139" t="s">
        <v>37</v>
      </c>
      <c r="B139">
        <v>2027</v>
      </c>
      <c r="C139" t="s">
        <v>319</v>
      </c>
      <c r="D139">
        <v>2012</v>
      </c>
      <c r="E139" t="s">
        <v>39</v>
      </c>
      <c r="F139" t="s">
        <v>10</v>
      </c>
      <c r="G139">
        <v>363.24842057709702</v>
      </c>
      <c r="H139">
        <v>3290992.8702915399</v>
      </c>
      <c r="I139">
        <v>3290992.8702915399</v>
      </c>
      <c r="J139">
        <v>0</v>
      </c>
      <c r="K139">
        <v>1617269.14803017</v>
      </c>
      <c r="L139">
        <v>0</v>
      </c>
      <c r="M139">
        <v>6.0849277364928103</v>
      </c>
      <c r="N139">
        <v>1.2032912228163899</v>
      </c>
      <c r="O139">
        <v>3.4994603192285898</v>
      </c>
      <c r="P139">
        <v>10.7876792785378</v>
      </c>
      <c r="Q139">
        <v>3.0050762276826799E-2</v>
      </c>
      <c r="R139">
        <v>2.8735726022206598E-4</v>
      </c>
      <c r="S139">
        <v>0</v>
      </c>
      <c r="T139">
        <v>3.0338119537048801E-2</v>
      </c>
      <c r="U139">
        <v>1.08830959959048E-2</v>
      </c>
      <c r="V139">
        <v>5.5132554178194799E-2</v>
      </c>
      <c r="W139">
        <v>9.6353769711148493E-2</v>
      </c>
      <c r="X139">
        <v>3.1409524398702197E-2</v>
      </c>
      <c r="Y139">
        <v>3.0035028040035101E-4</v>
      </c>
      <c r="Z139">
        <v>0</v>
      </c>
      <c r="AA139">
        <v>3.17098746791026E-2</v>
      </c>
      <c r="AB139">
        <v>4.3532383983619201E-2</v>
      </c>
      <c r="AC139">
        <v>0.15752158336627101</v>
      </c>
      <c r="AD139">
        <v>0.232763842028993</v>
      </c>
      <c r="AE139">
        <v>3513.9523948301598</v>
      </c>
      <c r="AF139">
        <v>274.86925532908498</v>
      </c>
      <c r="AG139">
        <v>0</v>
      </c>
      <c r="AH139">
        <v>3788.8216501592501</v>
      </c>
      <c r="AI139">
        <v>1.4182698663274399E-3</v>
      </c>
      <c r="AJ139">
        <v>9.6555909372887704E-4</v>
      </c>
      <c r="AK139">
        <v>0</v>
      </c>
      <c r="AL139">
        <v>2.3838289600563098E-3</v>
      </c>
      <c r="AM139">
        <v>0.553624630824468</v>
      </c>
      <c r="AN139">
        <v>4.3305763114618499E-2</v>
      </c>
      <c r="AO139">
        <v>0</v>
      </c>
      <c r="AP139">
        <v>0.59693039393908698</v>
      </c>
      <c r="AQ139">
        <v>3.0534961301526099E-2</v>
      </c>
      <c r="AR139">
        <v>2.07882225106382E-2</v>
      </c>
      <c r="AS139">
        <v>0</v>
      </c>
      <c r="AT139">
        <v>5.13231838121644E-2</v>
      </c>
      <c r="AU139">
        <v>0</v>
      </c>
      <c r="AV139">
        <v>0</v>
      </c>
      <c r="AW139">
        <v>0</v>
      </c>
      <c r="AX139">
        <v>5.13231838121644E-2</v>
      </c>
      <c r="AY139">
        <v>3.47617290811831E-2</v>
      </c>
      <c r="AZ139">
        <v>2.3665808902074401E-2</v>
      </c>
      <c r="BA139">
        <v>0</v>
      </c>
      <c r="BB139">
        <v>5.8427537983257498E-2</v>
      </c>
      <c r="BC139">
        <v>0</v>
      </c>
      <c r="BD139">
        <v>0</v>
      </c>
      <c r="BE139">
        <v>0</v>
      </c>
      <c r="BF139">
        <v>5.8427537983257498E-2</v>
      </c>
      <c r="BG139">
        <v>0.29483815654740098</v>
      </c>
      <c r="BH139">
        <v>0.88027409135253498</v>
      </c>
      <c r="BI139">
        <v>0</v>
      </c>
      <c r="BJ139">
        <v>1.1751122478999301</v>
      </c>
      <c r="BK139">
        <v>3.3275027873701103E-2</v>
      </c>
      <c r="BL139">
        <v>2.6028474791391799E-3</v>
      </c>
      <c r="BM139">
        <v>0</v>
      </c>
      <c r="BN139">
        <v>3.5877875352840302E-2</v>
      </c>
      <c r="BO139">
        <v>0.79809347758631299</v>
      </c>
      <c r="BP139">
        <v>338.45393714101903</v>
      </c>
    </row>
    <row r="140" spans="1:68" x14ac:dyDescent="0.25">
      <c r="A140" t="s">
        <v>37</v>
      </c>
      <c r="B140">
        <v>2027</v>
      </c>
      <c r="C140" t="s">
        <v>319</v>
      </c>
      <c r="D140">
        <v>2013</v>
      </c>
      <c r="E140" t="s">
        <v>39</v>
      </c>
      <c r="F140" t="s">
        <v>10</v>
      </c>
      <c r="G140">
        <v>414.62576839633198</v>
      </c>
      <c r="H140">
        <v>3802368.1221690499</v>
      </c>
      <c r="I140">
        <v>3802368.1221690499</v>
      </c>
      <c r="J140">
        <v>0</v>
      </c>
      <c r="K140">
        <v>1846013.4310848799</v>
      </c>
      <c r="L140">
        <v>0</v>
      </c>
      <c r="M140">
        <v>6.6934985394455202</v>
      </c>
      <c r="N140">
        <v>1.3734830479708</v>
      </c>
      <c r="O140">
        <v>2.8735671820422999</v>
      </c>
      <c r="P140">
        <v>10.9405487694586</v>
      </c>
      <c r="Q140">
        <v>3.3566560489494003E-2</v>
      </c>
      <c r="R140">
        <v>3.2800066861832998E-4</v>
      </c>
      <c r="S140">
        <v>0</v>
      </c>
      <c r="T140">
        <v>3.3894561158112298E-2</v>
      </c>
      <c r="U140">
        <v>1.25741801688159E-2</v>
      </c>
      <c r="V140">
        <v>6.3663781990210597E-2</v>
      </c>
      <c r="W140">
        <v>0.11013252331713801</v>
      </c>
      <c r="X140">
        <v>3.5084291405422699E-2</v>
      </c>
      <c r="Y140">
        <v>3.4283140337183998E-4</v>
      </c>
      <c r="Z140">
        <v>0</v>
      </c>
      <c r="AA140">
        <v>3.5427122808794599E-2</v>
      </c>
      <c r="AB140">
        <v>5.0296720675263598E-2</v>
      </c>
      <c r="AC140">
        <v>0.18189651997202999</v>
      </c>
      <c r="AD140">
        <v>0.26762036345608797</v>
      </c>
      <c r="AE140">
        <v>3683.49420381153</v>
      </c>
      <c r="AF140">
        <v>313.74637780472199</v>
      </c>
      <c r="AG140">
        <v>0</v>
      </c>
      <c r="AH140">
        <v>3997.24058161625</v>
      </c>
      <c r="AI140">
        <v>1.60509833840359E-3</v>
      </c>
      <c r="AJ140">
        <v>1.1021264195268099E-3</v>
      </c>
      <c r="AK140">
        <v>0</v>
      </c>
      <c r="AL140">
        <v>2.7072247579304001E-3</v>
      </c>
      <c r="AM140">
        <v>0.580336011873544</v>
      </c>
      <c r="AN140">
        <v>4.9430869592941303E-2</v>
      </c>
      <c r="AO140">
        <v>0</v>
      </c>
      <c r="AP140">
        <v>0.62976688146648596</v>
      </c>
      <c r="AQ140">
        <v>3.4557327072887403E-2</v>
      </c>
      <c r="AR140">
        <v>2.3728479585330899E-2</v>
      </c>
      <c r="AS140">
        <v>0</v>
      </c>
      <c r="AT140">
        <v>5.8285806658218302E-2</v>
      </c>
      <c r="AU140">
        <v>0</v>
      </c>
      <c r="AV140">
        <v>0</v>
      </c>
      <c r="AW140">
        <v>0</v>
      </c>
      <c r="AX140">
        <v>5.8285806658218302E-2</v>
      </c>
      <c r="AY140">
        <v>3.9340886324211698E-2</v>
      </c>
      <c r="AZ140">
        <v>2.70130677654545E-2</v>
      </c>
      <c r="BA140">
        <v>0</v>
      </c>
      <c r="BB140">
        <v>6.6353954089666295E-2</v>
      </c>
      <c r="BC140">
        <v>0</v>
      </c>
      <c r="BD140">
        <v>0</v>
      </c>
      <c r="BE140">
        <v>0</v>
      </c>
      <c r="BF140">
        <v>6.6353954089666295E-2</v>
      </c>
      <c r="BG140">
        <v>0.332557248549329</v>
      </c>
      <c r="BH140">
        <v>1.00477882586956</v>
      </c>
      <c r="BI140">
        <v>0</v>
      </c>
      <c r="BJ140">
        <v>1.33733607441889</v>
      </c>
      <c r="BK140">
        <v>3.4880487420595602E-2</v>
      </c>
      <c r="BL140">
        <v>2.9709905808867599E-3</v>
      </c>
      <c r="BM140">
        <v>0</v>
      </c>
      <c r="BN140">
        <v>3.7851478001482301E-2</v>
      </c>
      <c r="BO140">
        <v>0.92210628138383199</v>
      </c>
      <c r="BP140">
        <v>357.07191772698297</v>
      </c>
    </row>
    <row r="141" spans="1:68" x14ac:dyDescent="0.25">
      <c r="A141" t="s">
        <v>37</v>
      </c>
      <c r="B141">
        <v>2027</v>
      </c>
      <c r="C141" t="s">
        <v>319</v>
      </c>
      <c r="D141">
        <v>2014</v>
      </c>
      <c r="E141" t="s">
        <v>39</v>
      </c>
      <c r="F141" t="s">
        <v>10</v>
      </c>
      <c r="G141">
        <v>481.99710490258701</v>
      </c>
      <c r="H141">
        <v>4487478.8609318295</v>
      </c>
      <c r="I141">
        <v>4487478.8609318295</v>
      </c>
      <c r="J141">
        <v>0</v>
      </c>
      <c r="K141">
        <v>2145966.7903314899</v>
      </c>
      <c r="L141">
        <v>0</v>
      </c>
      <c r="M141">
        <v>1.36647847469505</v>
      </c>
      <c r="N141">
        <v>1.59665631809436</v>
      </c>
      <c r="O141">
        <v>3.3404847649593798</v>
      </c>
      <c r="P141">
        <v>6.3036195577488003</v>
      </c>
      <c r="Q141">
        <v>1.8746065697556501E-2</v>
      </c>
      <c r="R141">
        <v>3.8129654433111202E-4</v>
      </c>
      <c r="S141">
        <v>0</v>
      </c>
      <c r="T141">
        <v>1.9127362241887599E-2</v>
      </c>
      <c r="U141">
        <v>1.48397961186681E-2</v>
      </c>
      <c r="V141">
        <v>7.5037911879326805E-2</v>
      </c>
      <c r="W141">
        <v>0.109005070239882</v>
      </c>
      <c r="X141">
        <v>1.9593679603965498E-2</v>
      </c>
      <c r="Y141">
        <v>3.9853708208740802E-4</v>
      </c>
      <c r="Z141">
        <v>0</v>
      </c>
      <c r="AA141">
        <v>1.9992216686052899E-2</v>
      </c>
      <c r="AB141">
        <v>5.9359184474672401E-2</v>
      </c>
      <c r="AC141">
        <v>0.21439403394093301</v>
      </c>
      <c r="AD141">
        <v>0.29374543510165901</v>
      </c>
      <c r="AE141">
        <v>5796.64825401085</v>
      </c>
      <c r="AF141">
        <v>345.351429586721</v>
      </c>
      <c r="AG141">
        <v>0</v>
      </c>
      <c r="AH141">
        <v>6141.9996835975699</v>
      </c>
      <c r="AI141">
        <v>1.2040025499058401E-3</v>
      </c>
      <c r="AJ141">
        <v>1.28120773945919E-3</v>
      </c>
      <c r="AK141">
        <v>0</v>
      </c>
      <c r="AL141">
        <v>2.4852102893650301E-3</v>
      </c>
      <c r="AM141">
        <v>0.91326429304149903</v>
      </c>
      <c r="AN141">
        <v>5.4410258372009503E-2</v>
      </c>
      <c r="AO141">
        <v>0</v>
      </c>
      <c r="AP141">
        <v>0.967674551413509</v>
      </c>
      <c r="AQ141">
        <v>2.5921844735736499E-2</v>
      </c>
      <c r="AR141">
        <v>2.7584051295474699E-2</v>
      </c>
      <c r="AS141">
        <v>0</v>
      </c>
      <c r="AT141">
        <v>5.3505896031211302E-2</v>
      </c>
      <c r="AU141">
        <v>0</v>
      </c>
      <c r="AV141">
        <v>0</v>
      </c>
      <c r="AW141">
        <v>0</v>
      </c>
      <c r="AX141">
        <v>5.3505896031211302E-2</v>
      </c>
      <c r="AY141">
        <v>2.9510047027409399E-2</v>
      </c>
      <c r="AZ141">
        <v>3.1402342666365997E-2</v>
      </c>
      <c r="BA141">
        <v>0</v>
      </c>
      <c r="BB141">
        <v>6.09123896937755E-2</v>
      </c>
      <c r="BC141">
        <v>0</v>
      </c>
      <c r="BD141">
        <v>0</v>
      </c>
      <c r="BE141">
        <v>0</v>
      </c>
      <c r="BF141">
        <v>6.09123896937755E-2</v>
      </c>
      <c r="BG141">
        <v>0.19532658332418501</v>
      </c>
      <c r="BH141">
        <v>1.1680424181297799</v>
      </c>
      <c r="BI141">
        <v>0</v>
      </c>
      <c r="BJ141">
        <v>1.3633690014539599</v>
      </c>
      <c r="BK141">
        <v>5.4890792632827999E-2</v>
      </c>
      <c r="BL141">
        <v>3.2702715217848301E-3</v>
      </c>
      <c r="BM141">
        <v>0</v>
      </c>
      <c r="BN141">
        <v>5.81610641546128E-2</v>
      </c>
      <c r="BO141">
        <v>1.08825140341275</v>
      </c>
      <c r="BP141">
        <v>548.66239870254003</v>
      </c>
    </row>
    <row r="142" spans="1:68" x14ac:dyDescent="0.25">
      <c r="A142" t="s">
        <v>37</v>
      </c>
      <c r="B142">
        <v>2027</v>
      </c>
      <c r="C142" t="s">
        <v>319</v>
      </c>
      <c r="D142">
        <v>2015</v>
      </c>
      <c r="E142" t="s">
        <v>39</v>
      </c>
      <c r="F142" t="s">
        <v>10</v>
      </c>
      <c r="G142">
        <v>586.08572257733101</v>
      </c>
      <c r="H142">
        <v>5554965.9150080997</v>
      </c>
      <c r="I142">
        <v>5554965.9150080997</v>
      </c>
      <c r="J142">
        <v>0</v>
      </c>
      <c r="K142">
        <v>2609394.2974876901</v>
      </c>
      <c r="L142">
        <v>0</v>
      </c>
      <c r="M142">
        <v>1.66986380762759</v>
      </c>
      <c r="N142">
        <v>1.9414586983611199</v>
      </c>
      <c r="O142">
        <v>4.0618717567307696</v>
      </c>
      <c r="P142">
        <v>7.6731942627194902</v>
      </c>
      <c r="Q142">
        <v>2.30296658848895E-2</v>
      </c>
      <c r="R142">
        <v>4.6363859539303001E-4</v>
      </c>
      <c r="S142">
        <v>0</v>
      </c>
      <c r="T142">
        <v>2.3493304480282501E-2</v>
      </c>
      <c r="U142">
        <v>1.83699052807915E-2</v>
      </c>
      <c r="V142">
        <v>9.2837032042209305E-2</v>
      </c>
      <c r="W142">
        <v>0.13470024180328299</v>
      </c>
      <c r="X142">
        <v>2.4070965183575301E-2</v>
      </c>
      <c r="Y142">
        <v>4.8460227531090699E-4</v>
      </c>
      <c r="Z142">
        <v>0</v>
      </c>
      <c r="AA142">
        <v>2.45555674588862E-2</v>
      </c>
      <c r="AB142">
        <v>7.3479621123166194E-2</v>
      </c>
      <c r="AC142">
        <v>0.26524866297774102</v>
      </c>
      <c r="AD142">
        <v>0.36328385155979298</v>
      </c>
      <c r="AE142">
        <v>7175.1322361432403</v>
      </c>
      <c r="AF142">
        <v>419.93103297447698</v>
      </c>
      <c r="AG142">
        <v>0</v>
      </c>
      <c r="AH142">
        <v>7595.0632691177198</v>
      </c>
      <c r="AI142">
        <v>1.46807862884123E-3</v>
      </c>
      <c r="AJ142">
        <v>1.55788812031221E-3</v>
      </c>
      <c r="AK142">
        <v>0</v>
      </c>
      <c r="AL142">
        <v>3.0259667491534499E-3</v>
      </c>
      <c r="AM142">
        <v>1.13044500579909</v>
      </c>
      <c r="AN142">
        <v>6.6160305257484606E-2</v>
      </c>
      <c r="AO142">
        <v>0</v>
      </c>
      <c r="AP142">
        <v>1.19660531105658</v>
      </c>
      <c r="AQ142">
        <v>3.1607330299800097E-2</v>
      </c>
      <c r="AR142">
        <v>3.3540904023450599E-2</v>
      </c>
      <c r="AS142">
        <v>0</v>
      </c>
      <c r="AT142">
        <v>6.51482343232508E-2</v>
      </c>
      <c r="AU142">
        <v>0</v>
      </c>
      <c r="AV142">
        <v>0</v>
      </c>
      <c r="AW142">
        <v>0</v>
      </c>
      <c r="AX142">
        <v>6.51482343232508E-2</v>
      </c>
      <c r="AY142">
        <v>3.5982539555607901E-2</v>
      </c>
      <c r="AZ142">
        <v>3.8183766053860403E-2</v>
      </c>
      <c r="BA142">
        <v>0</v>
      </c>
      <c r="BB142">
        <v>7.4166305609468297E-2</v>
      </c>
      <c r="BC142">
        <v>0</v>
      </c>
      <c r="BD142">
        <v>0</v>
      </c>
      <c r="BE142">
        <v>0</v>
      </c>
      <c r="BF142">
        <v>7.4166305609468297E-2</v>
      </c>
      <c r="BG142">
        <v>0.237536253054796</v>
      </c>
      <c r="BH142">
        <v>1.4202844325567601</v>
      </c>
      <c r="BI142">
        <v>0</v>
      </c>
      <c r="BJ142">
        <v>1.65782068561156</v>
      </c>
      <c r="BK142">
        <v>6.7944211625182493E-2</v>
      </c>
      <c r="BL142">
        <v>3.9764957680746204E-3</v>
      </c>
      <c r="BM142">
        <v>0</v>
      </c>
      <c r="BN142">
        <v>7.1920707393257205E-2</v>
      </c>
      <c r="BO142">
        <v>1.34712600109325</v>
      </c>
      <c r="BP142">
        <v>678.46399319429202</v>
      </c>
    </row>
    <row r="143" spans="1:68" x14ac:dyDescent="0.25">
      <c r="A143" t="s">
        <v>37</v>
      </c>
      <c r="B143">
        <v>2027</v>
      </c>
      <c r="C143" t="s">
        <v>319</v>
      </c>
      <c r="D143">
        <v>2016</v>
      </c>
      <c r="E143" t="s">
        <v>39</v>
      </c>
      <c r="F143" t="s">
        <v>10</v>
      </c>
      <c r="G143">
        <v>907.16473087124098</v>
      </c>
      <c r="H143">
        <v>8776072.0958925001</v>
      </c>
      <c r="I143">
        <v>8776072.0958925001</v>
      </c>
      <c r="J143">
        <v>0</v>
      </c>
      <c r="K143">
        <v>4038915.1013741698</v>
      </c>
      <c r="L143">
        <v>0</v>
      </c>
      <c r="M143">
        <v>2.6073917364087</v>
      </c>
      <c r="N143">
        <v>3.0050601639832202</v>
      </c>
      <c r="O143">
        <v>7.2916929835803899</v>
      </c>
      <c r="P143">
        <v>12.9041448839723</v>
      </c>
      <c r="Q143">
        <v>3.5942802654118602E-2</v>
      </c>
      <c r="R143">
        <v>7.1763662790089004E-4</v>
      </c>
      <c r="S143">
        <v>0</v>
      </c>
      <c r="T143">
        <v>3.6660439282019501E-2</v>
      </c>
      <c r="U143">
        <v>2.9021890612035001E-2</v>
      </c>
      <c r="V143">
        <v>0.146653606996029</v>
      </c>
      <c r="W143">
        <v>0.21233593689008301</v>
      </c>
      <c r="X143">
        <v>3.7567976696313198E-2</v>
      </c>
      <c r="Y143">
        <v>7.5008497174919504E-4</v>
      </c>
      <c r="Z143">
        <v>0</v>
      </c>
      <c r="AA143">
        <v>3.8318061668062398E-2</v>
      </c>
      <c r="AB143">
        <v>0.11608756244814</v>
      </c>
      <c r="AC143">
        <v>0.41901030570294001</v>
      </c>
      <c r="AD143">
        <v>0.57341592981914202</v>
      </c>
      <c r="AE143">
        <v>11337.423431917499</v>
      </c>
      <c r="AF143">
        <v>649.98447810255595</v>
      </c>
      <c r="AG143">
        <v>0</v>
      </c>
      <c r="AH143">
        <v>11987.4079100201</v>
      </c>
      <c r="AI143">
        <v>2.27976267508207E-3</v>
      </c>
      <c r="AJ143">
        <v>2.4113557163203299E-3</v>
      </c>
      <c r="AK143">
        <v>0</v>
      </c>
      <c r="AL143">
        <v>4.6911183914024003E-3</v>
      </c>
      <c r="AM143">
        <v>1.78621567874126</v>
      </c>
      <c r="AN143">
        <v>0.102405319224182</v>
      </c>
      <c r="AO143">
        <v>0</v>
      </c>
      <c r="AP143">
        <v>1.88862099796544</v>
      </c>
      <c r="AQ143">
        <v>4.9082665233911901E-2</v>
      </c>
      <c r="AR143">
        <v>5.19158273260922E-2</v>
      </c>
      <c r="AS143">
        <v>0</v>
      </c>
      <c r="AT143">
        <v>0.100998492560004</v>
      </c>
      <c r="AU143">
        <v>0</v>
      </c>
      <c r="AV143">
        <v>0</v>
      </c>
      <c r="AW143">
        <v>0</v>
      </c>
      <c r="AX143">
        <v>0.100998492560004</v>
      </c>
      <c r="AY143">
        <v>5.5876878133078699E-2</v>
      </c>
      <c r="AZ143">
        <v>5.9102217511076402E-2</v>
      </c>
      <c r="BA143">
        <v>0</v>
      </c>
      <c r="BB143">
        <v>0.114979095644155</v>
      </c>
      <c r="BC143">
        <v>0</v>
      </c>
      <c r="BD143">
        <v>0</v>
      </c>
      <c r="BE143">
        <v>0</v>
      </c>
      <c r="BF143">
        <v>0.114979095644155</v>
      </c>
      <c r="BG143">
        <v>0.36852217367516599</v>
      </c>
      <c r="BH143">
        <v>2.19836773937282</v>
      </c>
      <c r="BI143">
        <v>0</v>
      </c>
      <c r="BJ143">
        <v>2.5668899130479801</v>
      </c>
      <c r="BK143">
        <v>0.107358620244268</v>
      </c>
      <c r="BL143">
        <v>6.1549643239776899E-3</v>
      </c>
      <c r="BM143">
        <v>0</v>
      </c>
      <c r="BN143">
        <v>0.11351358456824601</v>
      </c>
      <c r="BO143">
        <v>2.1282713681292602</v>
      </c>
      <c r="BP143">
        <v>1070.83040002455</v>
      </c>
    </row>
    <row r="144" spans="1:68" x14ac:dyDescent="0.25">
      <c r="A144" t="s">
        <v>37</v>
      </c>
      <c r="B144">
        <v>2027</v>
      </c>
      <c r="C144" t="s">
        <v>319</v>
      </c>
      <c r="D144">
        <v>2017</v>
      </c>
      <c r="E144" t="s">
        <v>39</v>
      </c>
      <c r="F144" t="s">
        <v>10</v>
      </c>
      <c r="G144">
        <v>848.08009976728204</v>
      </c>
      <c r="H144">
        <v>8395431.6499949694</v>
      </c>
      <c r="I144">
        <v>8395431.6499949694</v>
      </c>
      <c r="J144">
        <v>0</v>
      </c>
      <c r="K144">
        <v>3775856.1433878802</v>
      </c>
      <c r="L144">
        <v>0</v>
      </c>
      <c r="M144">
        <v>2.4646197423128902</v>
      </c>
      <c r="N144">
        <v>2.80933730881477</v>
      </c>
      <c r="O144">
        <v>6.8167770445043603</v>
      </c>
      <c r="P144">
        <v>12.090734095632</v>
      </c>
      <c r="Q144">
        <v>3.3702785476126103E-2</v>
      </c>
      <c r="R144">
        <v>6.70896169433649E-4</v>
      </c>
      <c r="S144">
        <v>0</v>
      </c>
      <c r="T144">
        <v>3.4373681645559699E-2</v>
      </c>
      <c r="U144">
        <v>2.7763137805237498E-2</v>
      </c>
      <c r="V144">
        <v>0.14035693631118301</v>
      </c>
      <c r="W144">
        <v>0.20249375576198</v>
      </c>
      <c r="X144">
        <v>3.5226675881460903E-2</v>
      </c>
      <c r="Y144">
        <v>7.0123111715777802E-4</v>
      </c>
      <c r="Z144">
        <v>0</v>
      </c>
      <c r="AA144">
        <v>3.5927906998618697E-2</v>
      </c>
      <c r="AB144">
        <v>0.11105255122094999</v>
      </c>
      <c r="AC144">
        <v>0.40101981803195302</v>
      </c>
      <c r="AD144">
        <v>0.54800027625152103</v>
      </c>
      <c r="AE144">
        <v>10435.338241641</v>
      </c>
      <c r="AF144">
        <v>584.67672864962901</v>
      </c>
      <c r="AG144">
        <v>0</v>
      </c>
      <c r="AH144">
        <v>11020.0149702906</v>
      </c>
      <c r="AI144">
        <v>2.1364320088147599E-3</v>
      </c>
      <c r="AJ144">
        <v>2.25430148117338E-3</v>
      </c>
      <c r="AK144">
        <v>0</v>
      </c>
      <c r="AL144">
        <v>4.3907334899881403E-3</v>
      </c>
      <c r="AM144">
        <v>1.6440917896487801</v>
      </c>
      <c r="AN144">
        <v>9.2116056702001403E-2</v>
      </c>
      <c r="AO144">
        <v>0</v>
      </c>
      <c r="AP144">
        <v>1.73620784635079</v>
      </c>
      <c r="AQ144">
        <v>4.5996795293568898E-2</v>
      </c>
      <c r="AR144">
        <v>4.8534492711071998E-2</v>
      </c>
      <c r="AS144">
        <v>0</v>
      </c>
      <c r="AT144">
        <v>9.4531288004640904E-2</v>
      </c>
      <c r="AU144">
        <v>0</v>
      </c>
      <c r="AV144">
        <v>0</v>
      </c>
      <c r="AW144">
        <v>0</v>
      </c>
      <c r="AX144">
        <v>9.4531288004640904E-2</v>
      </c>
      <c r="AY144">
        <v>5.2363850106394702E-2</v>
      </c>
      <c r="AZ144">
        <v>5.5252825443424303E-2</v>
      </c>
      <c r="BA144">
        <v>0</v>
      </c>
      <c r="BB144">
        <v>0.107616675549819</v>
      </c>
      <c r="BC144">
        <v>0</v>
      </c>
      <c r="BD144">
        <v>0</v>
      </c>
      <c r="BE144">
        <v>0</v>
      </c>
      <c r="BF144">
        <v>0.107616675549819</v>
      </c>
      <c r="BG144">
        <v>0.34616001730012402</v>
      </c>
      <c r="BH144">
        <v>2.0551856441132301</v>
      </c>
      <c r="BI144">
        <v>0</v>
      </c>
      <c r="BJ144">
        <v>2.4013456614133499</v>
      </c>
      <c r="BK144">
        <v>9.8816412929489006E-2</v>
      </c>
      <c r="BL144">
        <v>5.5365389899828497E-3</v>
      </c>
      <c r="BM144">
        <v>0</v>
      </c>
      <c r="BN144">
        <v>0.104352951919471</v>
      </c>
      <c r="BO144">
        <v>2.0359628554251801</v>
      </c>
      <c r="BP144">
        <v>984.41357193233796</v>
      </c>
    </row>
    <row r="145" spans="1:68" x14ac:dyDescent="0.25">
      <c r="A145" t="s">
        <v>106</v>
      </c>
      <c r="AE145" s="73">
        <f>SUM(AE138:AE144)*453.6*2000/SUM($H$138:$H$144)</f>
        <v>1104.7681065788749</v>
      </c>
      <c r="AI145" s="74">
        <f>SUM(AI138:AI144)*453.6*2000/SUM($H$138:$H$144)</f>
        <v>3.2406554778958031E-4</v>
      </c>
      <c r="AM145" s="74">
        <f>SUM(AM138:AM144)*453.6*2000/SUM($H$138:$H$144)</f>
        <v>0.17405666509632303</v>
      </c>
    </row>
    <row r="146" spans="1:68" x14ac:dyDescent="0.25">
      <c r="A146" t="s">
        <v>283</v>
      </c>
      <c r="AF146" s="73">
        <f>SUM(AF138:AF144)*453.6*2000/SUM($G$138:$G$144)/312</f>
        <v>2097.1612863728355</v>
      </c>
      <c r="AJ146" s="74">
        <f>SUM(AJ138:AJ144)*453.6*2000/SUM($G$138:$G$144)/312</f>
        <v>7.7529886258152709E-3</v>
      </c>
      <c r="AN146" s="74">
        <f>SUM(AN138:AN144)*453.6*2000/SUM($G$138:$G$144)/312</f>
        <v>0.33040861471421384</v>
      </c>
    </row>
    <row r="147" spans="1:68" x14ac:dyDescent="0.25">
      <c r="A147" t="s">
        <v>320</v>
      </c>
      <c r="H147">
        <f>SUM(H138:H144)/SUM(G138:G144)</f>
        <v>9506.9215517034281</v>
      </c>
      <c r="AF147" s="73"/>
      <c r="AJ147" s="74"/>
      <c r="AN147" s="74"/>
      <c r="BP147" s="74">
        <f>SUM(H138:H144)/(SUM(BP138:BP144)*1000)</f>
        <v>8.6534654927238979</v>
      </c>
    </row>
    <row r="149" spans="1:68" x14ac:dyDescent="0.25">
      <c r="A149" t="s">
        <v>37</v>
      </c>
      <c r="B149">
        <v>2028</v>
      </c>
      <c r="C149" t="s">
        <v>318</v>
      </c>
      <c r="D149">
        <v>2011</v>
      </c>
      <c r="E149" t="s">
        <v>39</v>
      </c>
      <c r="F149" t="s">
        <v>10</v>
      </c>
      <c r="G149">
        <v>85.186056378278195</v>
      </c>
      <c r="H149">
        <v>760825.47119244898</v>
      </c>
      <c r="I149">
        <v>760825.47119244898</v>
      </c>
      <c r="J149">
        <v>0</v>
      </c>
      <c r="K149">
        <v>379268.76764962502</v>
      </c>
      <c r="L149">
        <v>0</v>
      </c>
      <c r="M149">
        <v>1.7830396433376201</v>
      </c>
      <c r="N149">
        <v>0.32749806569240397</v>
      </c>
      <c r="O149">
        <v>0.66806615440218298</v>
      </c>
      <c r="P149">
        <v>2.7786038634322101</v>
      </c>
      <c r="Q149">
        <v>1.45736319644827E-2</v>
      </c>
      <c r="R149">
        <v>6.7388680537397607E-5</v>
      </c>
      <c r="S149">
        <v>0</v>
      </c>
      <c r="T149">
        <v>1.4641020645020099E-2</v>
      </c>
      <c r="U149">
        <v>2.5159995677484699E-3</v>
      </c>
      <c r="V149">
        <v>1.2717852904044201E-2</v>
      </c>
      <c r="W149">
        <v>2.9874873116812799E-2</v>
      </c>
      <c r="X149">
        <v>1.5232586932382599E-2</v>
      </c>
      <c r="Y149">
        <v>7.0435697638457595E-5</v>
      </c>
      <c r="Z149">
        <v>0</v>
      </c>
      <c r="AA149">
        <v>1.5303022630021E-2</v>
      </c>
      <c r="AB149">
        <v>1.00639982709938E-2</v>
      </c>
      <c r="AC149">
        <v>3.63367225829834E-2</v>
      </c>
      <c r="AD149">
        <v>6.1703743483998402E-2</v>
      </c>
      <c r="AE149">
        <v>820.62311356263501</v>
      </c>
      <c r="AF149">
        <v>67.021801669549802</v>
      </c>
      <c r="AG149">
        <v>0</v>
      </c>
      <c r="AH149">
        <v>887.64491523218499</v>
      </c>
      <c r="AI149">
        <v>1.62486636140486E-3</v>
      </c>
      <c r="AJ149">
        <v>2.4599382736741998E-4</v>
      </c>
      <c r="AK149">
        <v>0</v>
      </c>
      <c r="AL149">
        <v>1.8708601887722799E-3</v>
      </c>
      <c r="AM149">
        <v>0.12928950573164899</v>
      </c>
      <c r="AN149">
        <v>1.05593121469389E-2</v>
      </c>
      <c r="AO149">
        <v>0</v>
      </c>
      <c r="AP149">
        <v>0.13984881787858799</v>
      </c>
      <c r="AQ149">
        <v>3.4982927187281999E-2</v>
      </c>
      <c r="AR149">
        <v>5.2961796463525104E-3</v>
      </c>
      <c r="AS149">
        <v>0</v>
      </c>
      <c r="AT149">
        <v>4.0279106833634497E-2</v>
      </c>
      <c r="AU149">
        <v>0</v>
      </c>
      <c r="AV149">
        <v>0</v>
      </c>
      <c r="AW149">
        <v>0</v>
      </c>
      <c r="AX149">
        <v>4.0279106833634497E-2</v>
      </c>
      <c r="AY149">
        <v>3.9825399657220803E-2</v>
      </c>
      <c r="AZ149">
        <v>6.0292973753525098E-3</v>
      </c>
      <c r="BA149">
        <v>0</v>
      </c>
      <c r="BB149">
        <v>4.5854697032573298E-2</v>
      </c>
      <c r="BC149">
        <v>0</v>
      </c>
      <c r="BD149">
        <v>0</v>
      </c>
      <c r="BE149">
        <v>0</v>
      </c>
      <c r="BF149">
        <v>4.5854697032573298E-2</v>
      </c>
      <c r="BG149">
        <v>0.104180344265919</v>
      </c>
      <c r="BH149">
        <v>0.17879723899428099</v>
      </c>
      <c r="BI149">
        <v>0</v>
      </c>
      <c r="BJ149">
        <v>0.28297758326020001</v>
      </c>
      <c r="BK149">
        <v>7.7708101617352298E-3</v>
      </c>
      <c r="BL149">
        <v>6.3465638350166797E-4</v>
      </c>
      <c r="BM149">
        <v>0</v>
      </c>
      <c r="BN149">
        <v>8.4054665452368907E-3</v>
      </c>
      <c r="BO149">
        <v>0.184506582077899</v>
      </c>
      <c r="BP149">
        <v>79.292968654492199</v>
      </c>
    </row>
    <row r="150" spans="1:68" x14ac:dyDescent="0.25">
      <c r="A150" t="s">
        <v>37</v>
      </c>
      <c r="B150">
        <v>2028</v>
      </c>
      <c r="C150" t="s">
        <v>318</v>
      </c>
      <c r="D150">
        <v>2012</v>
      </c>
      <c r="E150" t="s">
        <v>39</v>
      </c>
      <c r="F150" t="s">
        <v>10</v>
      </c>
      <c r="G150">
        <v>503.331884259177</v>
      </c>
      <c r="H150">
        <v>4521949.2930426896</v>
      </c>
      <c r="I150">
        <v>4521949.2930426896</v>
      </c>
      <c r="J150">
        <v>0</v>
      </c>
      <c r="K150">
        <v>2240954.3483740701</v>
      </c>
      <c r="L150">
        <v>0</v>
      </c>
      <c r="M150">
        <v>8.4294035119779291</v>
      </c>
      <c r="N150">
        <v>1.66732958544044</v>
      </c>
      <c r="O150">
        <v>4.8489954989184003</v>
      </c>
      <c r="P150">
        <v>14.9457285963367</v>
      </c>
      <c r="Q150">
        <v>4.2043431112838599E-2</v>
      </c>
      <c r="R150">
        <v>3.98173985211947E-4</v>
      </c>
      <c r="S150">
        <v>0</v>
      </c>
      <c r="T150">
        <v>4.2441605098050603E-2</v>
      </c>
      <c r="U150">
        <v>1.49537875602988E-2</v>
      </c>
      <c r="V150">
        <v>7.5700705005130001E-2</v>
      </c>
      <c r="W150">
        <v>0.13309609766347899</v>
      </c>
      <c r="X150">
        <v>4.3944448502798703E-2</v>
      </c>
      <c r="Y150">
        <v>4.1617764595234001E-4</v>
      </c>
      <c r="Z150">
        <v>0</v>
      </c>
      <c r="AA150">
        <v>4.4360626148751102E-2</v>
      </c>
      <c r="AB150">
        <v>5.9815150241195297E-2</v>
      </c>
      <c r="AC150">
        <v>0.216287728586085</v>
      </c>
      <c r="AD150">
        <v>0.32046350497603199</v>
      </c>
      <c r="AE150">
        <v>4823.96033212775</v>
      </c>
      <c r="AF150">
        <v>380.87009432802802</v>
      </c>
      <c r="AG150">
        <v>0</v>
      </c>
      <c r="AH150">
        <v>5204.8304264557801</v>
      </c>
      <c r="AI150">
        <v>1.96022717333131E-3</v>
      </c>
      <c r="AJ150">
        <v>1.33791821376135E-3</v>
      </c>
      <c r="AK150">
        <v>0</v>
      </c>
      <c r="AL150">
        <v>3.2981453870926602E-3</v>
      </c>
      <c r="AM150">
        <v>0.760016914832218</v>
      </c>
      <c r="AN150">
        <v>6.0006238466593198E-2</v>
      </c>
      <c r="AO150">
        <v>0</v>
      </c>
      <c r="AP150">
        <v>0.82002315329881204</v>
      </c>
      <c r="AQ150">
        <v>4.22031535048158E-2</v>
      </c>
      <c r="AR150">
        <v>2.8805012255952299E-2</v>
      </c>
      <c r="AS150">
        <v>0</v>
      </c>
      <c r="AT150">
        <v>7.1008165760768197E-2</v>
      </c>
      <c r="AU150">
        <v>0</v>
      </c>
      <c r="AV150">
        <v>0</v>
      </c>
      <c r="AW150">
        <v>0</v>
      </c>
      <c r="AX150">
        <v>7.1008165760768197E-2</v>
      </c>
      <c r="AY150">
        <v>4.8045077706801199E-2</v>
      </c>
      <c r="AZ150">
        <v>3.2792313778748E-2</v>
      </c>
      <c r="BA150">
        <v>0</v>
      </c>
      <c r="BB150">
        <v>8.0837391485549207E-2</v>
      </c>
      <c r="BC150">
        <v>0</v>
      </c>
      <c r="BD150">
        <v>0</v>
      </c>
      <c r="BE150">
        <v>0</v>
      </c>
      <c r="BF150">
        <v>8.0837391485549207E-2</v>
      </c>
      <c r="BG150">
        <v>0.40591887366236601</v>
      </c>
      <c r="BH150">
        <v>1.2197438225914301</v>
      </c>
      <c r="BI150">
        <v>0</v>
      </c>
      <c r="BJ150">
        <v>1.6256626962538001</v>
      </c>
      <c r="BK150">
        <v>4.5680019669400697E-2</v>
      </c>
      <c r="BL150">
        <v>3.6066120371095198E-3</v>
      </c>
      <c r="BM150">
        <v>0</v>
      </c>
      <c r="BN150">
        <v>4.9286631706510202E-2</v>
      </c>
      <c r="BO150">
        <v>1.0966107734027699</v>
      </c>
      <c r="BP150">
        <v>464.945440203364</v>
      </c>
    </row>
    <row r="151" spans="1:68" x14ac:dyDescent="0.25">
      <c r="A151" t="s">
        <v>37</v>
      </c>
      <c r="B151">
        <v>2028</v>
      </c>
      <c r="C151" t="s">
        <v>318</v>
      </c>
      <c r="D151">
        <v>2013</v>
      </c>
      <c r="E151" t="s">
        <v>39</v>
      </c>
      <c r="F151" t="s">
        <v>10</v>
      </c>
      <c r="G151">
        <v>476.01929230468897</v>
      </c>
      <c r="H151">
        <v>4315645.4622403802</v>
      </c>
      <c r="I151">
        <v>4315645.4622403802</v>
      </c>
      <c r="J151">
        <v>0</v>
      </c>
      <c r="K151">
        <v>2119352.1339706299</v>
      </c>
      <c r="L151">
        <v>0</v>
      </c>
      <c r="M151">
        <v>7.6753607648418001</v>
      </c>
      <c r="N151">
        <v>1.5768543065143099</v>
      </c>
      <c r="O151">
        <v>3.29905548725631</v>
      </c>
      <c r="P151">
        <v>12.5512705586124</v>
      </c>
      <c r="Q151">
        <v>3.8917668577908897E-2</v>
      </c>
      <c r="R151">
        <v>3.7656763774006298E-4</v>
      </c>
      <c r="S151">
        <v>0</v>
      </c>
      <c r="T151">
        <v>3.9294236215649002E-2</v>
      </c>
      <c r="U151">
        <v>1.4271554421718799E-2</v>
      </c>
      <c r="V151">
        <v>7.2201846145651297E-2</v>
      </c>
      <c r="W151">
        <v>0.125767636783019</v>
      </c>
      <c r="X151">
        <v>4.0677352856405301E-2</v>
      </c>
      <c r="Y151">
        <v>3.93594355324525E-4</v>
      </c>
      <c r="Z151">
        <v>0</v>
      </c>
      <c r="AA151">
        <v>4.1070947211729901E-2</v>
      </c>
      <c r="AB151">
        <v>5.7086217686875197E-2</v>
      </c>
      <c r="AC151">
        <v>0.206290988987575</v>
      </c>
      <c r="AD151">
        <v>0.30444815388618002</v>
      </c>
      <c r="AE151">
        <v>4176.8778761047497</v>
      </c>
      <c r="AF151">
        <v>360.20271799172599</v>
      </c>
      <c r="AG151">
        <v>0</v>
      </c>
      <c r="AH151">
        <v>4537.0805940964801</v>
      </c>
      <c r="AI151">
        <v>1.8353964485530699E-3</v>
      </c>
      <c r="AJ151">
        <v>1.2653179764552801E-3</v>
      </c>
      <c r="AK151">
        <v>0</v>
      </c>
      <c r="AL151">
        <v>3.1007144250083502E-3</v>
      </c>
      <c r="AM151">
        <v>0.65806881036848697</v>
      </c>
      <c r="AN151">
        <v>5.6750084908244E-2</v>
      </c>
      <c r="AO151">
        <v>0</v>
      </c>
      <c r="AP151">
        <v>0.71481889527673104</v>
      </c>
      <c r="AQ151">
        <v>3.9515582231645398E-2</v>
      </c>
      <c r="AR151">
        <v>2.7241949055319799E-2</v>
      </c>
      <c r="AS151">
        <v>0</v>
      </c>
      <c r="AT151">
        <v>6.6757531286965294E-2</v>
      </c>
      <c r="AU151">
        <v>0</v>
      </c>
      <c r="AV151">
        <v>0</v>
      </c>
      <c r="AW151">
        <v>0</v>
      </c>
      <c r="AX151">
        <v>6.6757531286965294E-2</v>
      </c>
      <c r="AY151">
        <v>4.4985482393685397E-2</v>
      </c>
      <c r="AZ151">
        <v>3.1012885307213099E-2</v>
      </c>
      <c r="BA151">
        <v>0</v>
      </c>
      <c r="BB151">
        <v>7.5998367700898503E-2</v>
      </c>
      <c r="BC151">
        <v>0</v>
      </c>
      <c r="BD151">
        <v>0</v>
      </c>
      <c r="BE151">
        <v>0</v>
      </c>
      <c r="BF151">
        <v>7.5998367700898503E-2</v>
      </c>
      <c r="BG151">
        <v>0.37871215852565099</v>
      </c>
      <c r="BH151">
        <v>1.15355615128094</v>
      </c>
      <c r="BI151">
        <v>0</v>
      </c>
      <c r="BJ151">
        <v>1.5322683098065899</v>
      </c>
      <c r="BK151">
        <v>3.9552535759138703E-2</v>
      </c>
      <c r="BL151">
        <v>3.4109043420711598E-3</v>
      </c>
      <c r="BM151">
        <v>0</v>
      </c>
      <c r="BN151">
        <v>4.29634401012099E-2</v>
      </c>
      <c r="BO151">
        <v>1.04658035758184</v>
      </c>
      <c r="BP151">
        <v>405.29561219476301</v>
      </c>
    </row>
    <row r="152" spans="1:68" x14ac:dyDescent="0.25">
      <c r="A152" t="s">
        <v>37</v>
      </c>
      <c r="B152">
        <v>2028</v>
      </c>
      <c r="C152" t="s">
        <v>318</v>
      </c>
      <c r="D152">
        <v>2014</v>
      </c>
      <c r="E152" t="s">
        <v>39</v>
      </c>
      <c r="F152" t="s">
        <v>10</v>
      </c>
      <c r="G152">
        <v>418.52173822420502</v>
      </c>
      <c r="H152">
        <v>3840959.17449586</v>
      </c>
      <c r="I152">
        <v>3840959.17449586</v>
      </c>
      <c r="J152">
        <v>0</v>
      </c>
      <c r="K152">
        <v>1863359.2237913299</v>
      </c>
      <c r="L152">
        <v>0</v>
      </c>
      <c r="M152">
        <v>1.1738335329642</v>
      </c>
      <c r="N152">
        <v>1.38638877868476</v>
      </c>
      <c r="O152">
        <v>2.9005682318875898</v>
      </c>
      <c r="P152">
        <v>5.46079054353656</v>
      </c>
      <c r="Q152">
        <v>1.62676928584547E-2</v>
      </c>
      <c r="R152">
        <v>3.3108267848327999E-4</v>
      </c>
      <c r="S152">
        <v>0</v>
      </c>
      <c r="T152">
        <v>1.65987755369379E-2</v>
      </c>
      <c r="U152">
        <v>1.27017982292642E-2</v>
      </c>
      <c r="V152">
        <v>6.4183694148582604E-2</v>
      </c>
      <c r="W152">
        <v>9.3484267914784897E-2</v>
      </c>
      <c r="X152">
        <v>1.7003245742695999E-2</v>
      </c>
      <c r="Y152">
        <v>3.4605276804666702E-4</v>
      </c>
      <c r="Z152">
        <v>0</v>
      </c>
      <c r="AA152">
        <v>1.7349298510742701E-2</v>
      </c>
      <c r="AB152">
        <v>5.0807192917057001E-2</v>
      </c>
      <c r="AC152">
        <v>0.183381983281664</v>
      </c>
      <c r="AD152">
        <v>0.251538474709464</v>
      </c>
      <c r="AE152">
        <v>4959.5042113321497</v>
      </c>
      <c r="AF152">
        <v>299.87126299867703</v>
      </c>
      <c r="AG152">
        <v>0</v>
      </c>
      <c r="AH152">
        <v>5259.37547433082</v>
      </c>
      <c r="AI152">
        <v>1.04321568290474E-3</v>
      </c>
      <c r="AJ152">
        <v>1.1124823877378201E-3</v>
      </c>
      <c r="AK152">
        <v>0</v>
      </c>
      <c r="AL152">
        <v>2.1556980706425701E-3</v>
      </c>
      <c r="AM152">
        <v>0.78137190819964497</v>
      </c>
      <c r="AN152">
        <v>4.7244839604758899E-2</v>
      </c>
      <c r="AO152">
        <v>0</v>
      </c>
      <c r="AP152">
        <v>0.82861674780440397</v>
      </c>
      <c r="AQ152">
        <v>2.2460147580465498E-2</v>
      </c>
      <c r="AR152">
        <v>2.3951440741081999E-2</v>
      </c>
      <c r="AS152">
        <v>0</v>
      </c>
      <c r="AT152">
        <v>4.6411588321547598E-2</v>
      </c>
      <c r="AU152">
        <v>0</v>
      </c>
      <c r="AV152">
        <v>0</v>
      </c>
      <c r="AW152">
        <v>0</v>
      </c>
      <c r="AX152">
        <v>4.6411588321547598E-2</v>
      </c>
      <c r="AY152">
        <v>2.5569168324981999E-2</v>
      </c>
      <c r="AZ152">
        <v>2.7266892069186598E-2</v>
      </c>
      <c r="BA152">
        <v>0</v>
      </c>
      <c r="BB152">
        <v>5.2836060394168598E-2</v>
      </c>
      <c r="BC152">
        <v>0</v>
      </c>
      <c r="BD152">
        <v>0</v>
      </c>
      <c r="BE152">
        <v>0</v>
      </c>
      <c r="BF152">
        <v>5.2836060394168598E-2</v>
      </c>
      <c r="BG152">
        <v>0.168858348402742</v>
      </c>
      <c r="BH152">
        <v>1.01422008178672</v>
      </c>
      <c r="BI152">
        <v>0</v>
      </c>
      <c r="BJ152">
        <v>1.1830784301894599</v>
      </c>
      <c r="BK152">
        <v>4.69635391516997E-2</v>
      </c>
      <c r="BL152">
        <v>2.8396015408413602E-3</v>
      </c>
      <c r="BM152">
        <v>0</v>
      </c>
      <c r="BN152">
        <v>4.9803140692540999E-2</v>
      </c>
      <c r="BO152">
        <v>0.931464936467302</v>
      </c>
      <c r="BP152">
        <v>469.81792772308597</v>
      </c>
    </row>
    <row r="153" spans="1:68" x14ac:dyDescent="0.25">
      <c r="A153" t="s">
        <v>37</v>
      </c>
      <c r="B153">
        <v>2028</v>
      </c>
      <c r="C153" t="s">
        <v>318</v>
      </c>
      <c r="D153">
        <v>2015</v>
      </c>
      <c r="E153" t="s">
        <v>39</v>
      </c>
      <c r="F153" t="s">
        <v>10</v>
      </c>
      <c r="G153">
        <v>767.90019730420204</v>
      </c>
      <c r="H153">
        <v>7154656.8574802903</v>
      </c>
      <c r="I153">
        <v>7154656.8574802903</v>
      </c>
      <c r="J153">
        <v>0</v>
      </c>
      <c r="K153">
        <v>3418875.9744456601</v>
      </c>
      <c r="L153">
        <v>0</v>
      </c>
      <c r="M153">
        <v>2.15798497259411</v>
      </c>
      <c r="N153">
        <v>2.5437345768693</v>
      </c>
      <c r="O153">
        <v>5.3219384183278899</v>
      </c>
      <c r="P153">
        <v>10.0236579677913</v>
      </c>
      <c r="Q153">
        <v>3.0134846290798802E-2</v>
      </c>
      <c r="R153">
        <v>6.0746773921481402E-4</v>
      </c>
      <c r="S153">
        <v>0</v>
      </c>
      <c r="T153">
        <v>3.0742314030013599E-2</v>
      </c>
      <c r="U153">
        <v>2.3659977540704601E-2</v>
      </c>
      <c r="V153">
        <v>0.119466967765715</v>
      </c>
      <c r="W153">
        <v>0.17386925933643299</v>
      </c>
      <c r="X153">
        <v>3.1497410318668803E-2</v>
      </c>
      <c r="Y153">
        <v>6.3493473478393896E-4</v>
      </c>
      <c r="Z153">
        <v>0</v>
      </c>
      <c r="AA153">
        <v>3.21323450534527E-2</v>
      </c>
      <c r="AB153">
        <v>9.4639910162818697E-2</v>
      </c>
      <c r="AC153">
        <v>0.341334193616329</v>
      </c>
      <c r="AD153">
        <v>0.468106448832601</v>
      </c>
      <c r="AE153">
        <v>9235.4347993739702</v>
      </c>
      <c r="AF153">
        <v>550.20129420179501</v>
      </c>
      <c r="AG153">
        <v>0</v>
      </c>
      <c r="AH153">
        <v>9785.6360935757602</v>
      </c>
      <c r="AI153">
        <v>1.91747249837269E-3</v>
      </c>
      <c r="AJ153">
        <v>2.04117341351497E-3</v>
      </c>
      <c r="AK153">
        <v>0</v>
      </c>
      <c r="AL153">
        <v>3.9586459118876602E-3</v>
      </c>
      <c r="AM153">
        <v>1.4550465136719499</v>
      </c>
      <c r="AN153">
        <v>8.6684437964998501E-2</v>
      </c>
      <c r="AO153">
        <v>0</v>
      </c>
      <c r="AP153">
        <v>1.54173095163695</v>
      </c>
      <c r="AQ153">
        <v>4.12826570772203E-2</v>
      </c>
      <c r="AR153">
        <v>4.3945903858746999E-2</v>
      </c>
      <c r="AS153">
        <v>0</v>
      </c>
      <c r="AT153">
        <v>8.5228560935967396E-2</v>
      </c>
      <c r="AU153">
        <v>0</v>
      </c>
      <c r="AV153">
        <v>0</v>
      </c>
      <c r="AW153">
        <v>0</v>
      </c>
      <c r="AX153">
        <v>8.5228560935967396E-2</v>
      </c>
      <c r="AY153">
        <v>4.69971625933579E-2</v>
      </c>
      <c r="AZ153">
        <v>5.0029066324349003E-2</v>
      </c>
      <c r="BA153">
        <v>0</v>
      </c>
      <c r="BB153">
        <v>9.7026228917707E-2</v>
      </c>
      <c r="BC153">
        <v>0</v>
      </c>
      <c r="BD153">
        <v>0</v>
      </c>
      <c r="BE153">
        <v>0</v>
      </c>
      <c r="BF153">
        <v>9.7026228917707E-2</v>
      </c>
      <c r="BG153">
        <v>0.30944602472440202</v>
      </c>
      <c r="BH153">
        <v>1.86088255348084</v>
      </c>
      <c r="BI153">
        <v>0</v>
      </c>
      <c r="BJ153">
        <v>2.1703285782052402</v>
      </c>
      <c r="BK153">
        <v>8.7454044860437202E-2</v>
      </c>
      <c r="BL153">
        <v>5.2100772416969502E-3</v>
      </c>
      <c r="BM153">
        <v>0</v>
      </c>
      <c r="BN153">
        <v>9.2664122102134205E-2</v>
      </c>
      <c r="BO153">
        <v>1.73506452228119</v>
      </c>
      <c r="BP153">
        <v>874.14699585048299</v>
      </c>
    </row>
    <row r="154" spans="1:68" x14ac:dyDescent="0.25">
      <c r="A154" t="s">
        <v>37</v>
      </c>
      <c r="B154">
        <v>2028</v>
      </c>
      <c r="C154" t="s">
        <v>318</v>
      </c>
      <c r="D154">
        <v>2016</v>
      </c>
      <c r="E154" t="s">
        <v>39</v>
      </c>
      <c r="F154" t="s">
        <v>10</v>
      </c>
      <c r="G154">
        <v>838.38204395634295</v>
      </c>
      <c r="H154">
        <v>7951498.9788207598</v>
      </c>
      <c r="I154">
        <v>7951498.9788207598</v>
      </c>
      <c r="J154">
        <v>0</v>
      </c>
      <c r="K154">
        <v>3732678.0713841799</v>
      </c>
      <c r="L154">
        <v>0</v>
      </c>
      <c r="M154">
        <v>2.3843314951914598</v>
      </c>
      <c r="N154">
        <v>2.7772116758466301</v>
      </c>
      <c r="O154">
        <v>6.7388251101922103</v>
      </c>
      <c r="P154">
        <v>11.9003682812303</v>
      </c>
      <c r="Q154">
        <v>3.3021166393276201E-2</v>
      </c>
      <c r="R154">
        <v>6.6322426615904697E-4</v>
      </c>
      <c r="S154">
        <v>0</v>
      </c>
      <c r="T154">
        <v>3.36843906594353E-2</v>
      </c>
      <c r="U154">
        <v>2.6295081790979901E-2</v>
      </c>
      <c r="V154">
        <v>0.13284885090606799</v>
      </c>
      <c r="W154">
        <v>0.19282832335648301</v>
      </c>
      <c r="X154">
        <v>3.4514237008324497E-2</v>
      </c>
      <c r="Y154">
        <v>6.9321232446066603E-4</v>
      </c>
      <c r="Z154">
        <v>0</v>
      </c>
      <c r="AA154">
        <v>3.5207449332785197E-2</v>
      </c>
      <c r="AB154">
        <v>0.10518032716391899</v>
      </c>
      <c r="AC154">
        <v>0.37956814544591</v>
      </c>
      <c r="AD154">
        <v>0.51995592194261497</v>
      </c>
      <c r="AE154">
        <v>10268.466909361399</v>
      </c>
      <c r="AF154">
        <v>600.70161101625797</v>
      </c>
      <c r="AG154">
        <v>0</v>
      </c>
      <c r="AH154">
        <v>10869.1685203777</v>
      </c>
      <c r="AI154">
        <v>2.10070927516355E-3</v>
      </c>
      <c r="AJ154">
        <v>2.2285228529693199E-3</v>
      </c>
      <c r="AK154">
        <v>0</v>
      </c>
      <c r="AL154">
        <v>4.3292321281328799E-3</v>
      </c>
      <c r="AM154">
        <v>1.6178011432916</v>
      </c>
      <c r="AN154">
        <v>9.4640783444823198E-2</v>
      </c>
      <c r="AO154">
        <v>0</v>
      </c>
      <c r="AP154">
        <v>1.7124419267364199</v>
      </c>
      <c r="AQ154">
        <v>4.5227694634010399E-2</v>
      </c>
      <c r="AR154">
        <v>4.7979485914900297E-2</v>
      </c>
      <c r="AS154">
        <v>0</v>
      </c>
      <c r="AT154">
        <v>9.3207180548910806E-2</v>
      </c>
      <c r="AU154">
        <v>0</v>
      </c>
      <c r="AV154">
        <v>0</v>
      </c>
      <c r="AW154">
        <v>0</v>
      </c>
      <c r="AX154">
        <v>9.3207180548910806E-2</v>
      </c>
      <c r="AY154">
        <v>5.1488287550420703E-2</v>
      </c>
      <c r="AZ154">
        <v>5.4620992453815402E-2</v>
      </c>
      <c r="BA154">
        <v>0</v>
      </c>
      <c r="BB154">
        <v>0.106109280004236</v>
      </c>
      <c r="BC154">
        <v>0</v>
      </c>
      <c r="BD154">
        <v>0</v>
      </c>
      <c r="BE154">
        <v>0</v>
      </c>
      <c r="BF154">
        <v>0.106109280004236</v>
      </c>
      <c r="BG154">
        <v>0.339502201141547</v>
      </c>
      <c r="BH154">
        <v>2.03168396651937</v>
      </c>
      <c r="BI154">
        <v>0</v>
      </c>
      <c r="BJ154">
        <v>2.3711861676609098</v>
      </c>
      <c r="BK154">
        <v>9.7236241200044399E-2</v>
      </c>
      <c r="BL154">
        <v>5.68828504328933E-3</v>
      </c>
      <c r="BM154">
        <v>0</v>
      </c>
      <c r="BN154">
        <v>0.10292452624333299</v>
      </c>
      <c r="BO154">
        <v>1.9283054452405699</v>
      </c>
      <c r="BP154">
        <v>970.93851831648897</v>
      </c>
    </row>
    <row r="155" spans="1:68" x14ac:dyDescent="0.25">
      <c r="A155" t="s">
        <v>37</v>
      </c>
      <c r="B155">
        <v>2028</v>
      </c>
      <c r="C155" t="s">
        <v>318</v>
      </c>
      <c r="D155">
        <v>2017</v>
      </c>
      <c r="E155" t="s">
        <v>39</v>
      </c>
      <c r="F155" t="s">
        <v>10</v>
      </c>
      <c r="G155">
        <v>581.36251897525005</v>
      </c>
      <c r="H155">
        <v>5628397.6817236198</v>
      </c>
      <c r="I155">
        <v>5628397.6817236198</v>
      </c>
      <c r="J155">
        <v>0</v>
      </c>
      <c r="K155">
        <v>2588365.46148236</v>
      </c>
      <c r="L155">
        <v>0</v>
      </c>
      <c r="M155">
        <v>1.6640238773640901</v>
      </c>
      <c r="N155">
        <v>1.9258126855609901</v>
      </c>
      <c r="O155">
        <v>4.6729296855014901</v>
      </c>
      <c r="P155">
        <v>8.2627662484265798</v>
      </c>
      <c r="Q155">
        <v>2.30764792607016E-2</v>
      </c>
      <c r="R155">
        <v>4.5990218039523498E-4</v>
      </c>
      <c r="S155">
        <v>0</v>
      </c>
      <c r="T155">
        <v>2.35363814410968E-2</v>
      </c>
      <c r="U155">
        <v>1.8612739281899899E-2</v>
      </c>
      <c r="V155">
        <v>9.4002627921069101E-2</v>
      </c>
      <c r="W155">
        <v>0.13615174864406501</v>
      </c>
      <c r="X155">
        <v>2.41198952525104E-2</v>
      </c>
      <c r="Y155">
        <v>4.8069691620700601E-4</v>
      </c>
      <c r="Z155">
        <v>0</v>
      </c>
      <c r="AA155">
        <v>2.4600592168717399E-2</v>
      </c>
      <c r="AB155">
        <v>7.4450957127599804E-2</v>
      </c>
      <c r="AC155">
        <v>0.26857893691734003</v>
      </c>
      <c r="AD155">
        <v>0.36763048621365702</v>
      </c>
      <c r="AE155">
        <v>6992.0268070095799</v>
      </c>
      <c r="AF155">
        <v>400.79838667033999</v>
      </c>
      <c r="AG155">
        <v>0</v>
      </c>
      <c r="AH155">
        <v>7392.8251936799197</v>
      </c>
      <c r="AI155">
        <v>1.46009993767716E-3</v>
      </c>
      <c r="AJ155">
        <v>1.5453332627238601E-3</v>
      </c>
      <c r="AK155">
        <v>0</v>
      </c>
      <c r="AL155">
        <v>3.00543320040103E-3</v>
      </c>
      <c r="AM155">
        <v>1.10159667087139</v>
      </c>
      <c r="AN155">
        <v>6.3145949040705196E-2</v>
      </c>
      <c r="AO155">
        <v>0</v>
      </c>
      <c r="AP155">
        <v>1.16474261991209</v>
      </c>
      <c r="AQ155">
        <v>3.1435551266968599E-2</v>
      </c>
      <c r="AR155">
        <v>3.3270601382388999E-2</v>
      </c>
      <c r="AS155">
        <v>0</v>
      </c>
      <c r="AT155">
        <v>6.4706152649357598E-2</v>
      </c>
      <c r="AU155">
        <v>0</v>
      </c>
      <c r="AV155">
        <v>0</v>
      </c>
      <c r="AW155">
        <v>0</v>
      </c>
      <c r="AX155">
        <v>6.4706152649357598E-2</v>
      </c>
      <c r="AY155">
        <v>3.5786982202770601E-2</v>
      </c>
      <c r="AZ155">
        <v>3.7876047072797098E-2</v>
      </c>
      <c r="BA155">
        <v>0</v>
      </c>
      <c r="BB155">
        <v>7.3663029275567699E-2</v>
      </c>
      <c r="BC155">
        <v>0</v>
      </c>
      <c r="BD155">
        <v>0</v>
      </c>
      <c r="BE155">
        <v>0</v>
      </c>
      <c r="BF155">
        <v>7.3663029275567699E-2</v>
      </c>
      <c r="BG155">
        <v>0.23578358849685099</v>
      </c>
      <c r="BH155">
        <v>1.40883850871075</v>
      </c>
      <c r="BI155">
        <v>0</v>
      </c>
      <c r="BJ155">
        <v>1.6446220972076</v>
      </c>
      <c r="BK155">
        <v>6.6210312706343297E-2</v>
      </c>
      <c r="BL155">
        <v>3.7953210486889898E-3</v>
      </c>
      <c r="BM155">
        <v>0</v>
      </c>
      <c r="BN155">
        <v>7.0005633755032298E-2</v>
      </c>
      <c r="BO155">
        <v>1.36493382273648</v>
      </c>
      <c r="BP155">
        <v>660.39814602809702</v>
      </c>
    </row>
    <row r="156" spans="1:68" x14ac:dyDescent="0.25">
      <c r="A156" t="s">
        <v>106</v>
      </c>
      <c r="AE156" s="73">
        <f>SUM(AE149:AE155)*453.6*2000/SUM($H$149:$H$155)</f>
        <v>1095.7591088476033</v>
      </c>
      <c r="AI156" s="74">
        <f>SUM(AI149:AI155)*453.6*2000/SUM($H$149:$H$155)</f>
        <v>3.1701855839840647E-4</v>
      </c>
      <c r="AM156" s="74">
        <f>SUM(AM149:AM155)*453.6*2000/SUM($H$149:$H$155)</f>
        <v>0.17263729383494461</v>
      </c>
    </row>
    <row r="157" spans="1:68" x14ac:dyDescent="0.25">
      <c r="A157" t="s">
        <v>283</v>
      </c>
      <c r="AF157" s="73">
        <f>SUM(AF149:AF155)*453.6*2000/SUM($G$149:$G$155)/312</f>
        <v>2106.8150234531604</v>
      </c>
      <c r="AJ157" s="74">
        <f>SUM(AJ149:AJ155)*453.6*2000/SUM($G$149:$G$155)/312</f>
        <v>7.7444978939956166E-3</v>
      </c>
      <c r="AN157" s="74">
        <f>SUM(AN149:AN155)*453.6*2000/SUM($G$149:$G$155)/312</f>
        <v>0.3319295649225984</v>
      </c>
    </row>
    <row r="158" spans="1:68" x14ac:dyDescent="0.25">
      <c r="A158" t="s">
        <v>320</v>
      </c>
      <c r="H158">
        <f>SUM(H149:H155)/SUM(G149:G155)</f>
        <v>9309.913144622602</v>
      </c>
      <c r="AF158" s="73"/>
      <c r="AJ158" s="74"/>
      <c r="AN158" s="74"/>
      <c r="BP158" s="74">
        <f>SUM(H149:H155)/(SUM(BP149:BP155)*1000)</f>
        <v>8.7070991816540371</v>
      </c>
    </row>
    <row r="160" spans="1:68" x14ac:dyDescent="0.25">
      <c r="A160" t="s">
        <v>37</v>
      </c>
      <c r="B160">
        <v>2028</v>
      </c>
      <c r="C160" t="s">
        <v>319</v>
      </c>
      <c r="D160">
        <v>2011</v>
      </c>
      <c r="E160" t="s">
        <v>39</v>
      </c>
      <c r="F160" t="s">
        <v>10</v>
      </c>
      <c r="G160">
        <v>120.077210976768</v>
      </c>
      <c r="H160">
        <v>1071609.95987865</v>
      </c>
      <c r="I160">
        <v>1071609.95987865</v>
      </c>
      <c r="J160">
        <v>0</v>
      </c>
      <c r="K160">
        <v>534612.56179920596</v>
      </c>
      <c r="L160">
        <v>0</v>
      </c>
      <c r="M160">
        <v>2.5223138984298799</v>
      </c>
      <c r="N160">
        <v>0.46163722093204501</v>
      </c>
      <c r="O160">
        <v>0.94169778458064402</v>
      </c>
      <c r="P160">
        <v>3.9256489039425699</v>
      </c>
      <c r="Q160">
        <v>2.01731311998096E-2</v>
      </c>
      <c r="R160">
        <v>9.49902502165625E-5</v>
      </c>
      <c r="S160">
        <v>0</v>
      </c>
      <c r="T160">
        <v>2.02681214500262E-2</v>
      </c>
      <c r="U160">
        <v>3.5437433392231702E-3</v>
      </c>
      <c r="V160">
        <v>1.79560790641509E-2</v>
      </c>
      <c r="W160">
        <v>4.1767943853400297E-2</v>
      </c>
      <c r="X160">
        <v>2.10852706757211E-2</v>
      </c>
      <c r="Y160">
        <v>9.9285287818362902E-5</v>
      </c>
      <c r="Z160">
        <v>0</v>
      </c>
      <c r="AA160">
        <v>2.1184555963539499E-2</v>
      </c>
      <c r="AB160">
        <v>1.4174973356892599E-2</v>
      </c>
      <c r="AC160">
        <v>5.1303083040431199E-2</v>
      </c>
      <c r="AD160">
        <v>8.6662612360863395E-2</v>
      </c>
      <c r="AE160">
        <v>1159.73171989916</v>
      </c>
      <c r="AF160">
        <v>94.473102304211096</v>
      </c>
      <c r="AG160">
        <v>0</v>
      </c>
      <c r="AH160">
        <v>1254.20482220337</v>
      </c>
      <c r="AI160">
        <v>2.3034717862901398E-3</v>
      </c>
      <c r="AJ160">
        <v>3.4674985512431103E-4</v>
      </c>
      <c r="AK160">
        <v>0</v>
      </c>
      <c r="AL160">
        <v>2.6502216414144501E-3</v>
      </c>
      <c r="AM160">
        <v>0.182716204758269</v>
      </c>
      <c r="AN160">
        <v>1.4884275741174E-2</v>
      </c>
      <c r="AO160">
        <v>0</v>
      </c>
      <c r="AP160">
        <v>0.19760048049944301</v>
      </c>
      <c r="AQ160">
        <v>4.9593115896666699E-2</v>
      </c>
      <c r="AR160">
        <v>7.4654292944599399E-3</v>
      </c>
      <c r="AS160">
        <v>0</v>
      </c>
      <c r="AT160">
        <v>5.70585451911267E-2</v>
      </c>
      <c r="AU160">
        <v>0</v>
      </c>
      <c r="AV160">
        <v>0</v>
      </c>
      <c r="AW160">
        <v>0</v>
      </c>
      <c r="AX160">
        <v>5.70585451911267E-2</v>
      </c>
      <c r="AY160">
        <v>5.6457987356462701E-2</v>
      </c>
      <c r="AZ160">
        <v>8.4988229736441094E-3</v>
      </c>
      <c r="BA160">
        <v>0</v>
      </c>
      <c r="BB160">
        <v>6.4956810330106904E-2</v>
      </c>
      <c r="BC160">
        <v>0</v>
      </c>
      <c r="BD160">
        <v>0</v>
      </c>
      <c r="BE160">
        <v>0</v>
      </c>
      <c r="BF160">
        <v>6.4956810330106904E-2</v>
      </c>
      <c r="BG160">
        <v>0.14945438876691899</v>
      </c>
      <c r="BH160">
        <v>0.25203037564553499</v>
      </c>
      <c r="BI160">
        <v>0</v>
      </c>
      <c r="BJ160">
        <v>0.40148476441245501</v>
      </c>
      <c r="BK160">
        <v>1.0981965880481099E-2</v>
      </c>
      <c r="BL160">
        <v>8.9460378493248695E-4</v>
      </c>
      <c r="BM160">
        <v>0</v>
      </c>
      <c r="BN160">
        <v>1.1876569665413599E-2</v>
      </c>
      <c r="BO160">
        <v>0.25987443704790603</v>
      </c>
      <c r="BP160">
        <v>112.037619938679</v>
      </c>
    </row>
    <row r="161" spans="1:68" x14ac:dyDescent="0.25">
      <c r="A161" t="s">
        <v>37</v>
      </c>
      <c r="B161">
        <v>2028</v>
      </c>
      <c r="C161" t="s">
        <v>319</v>
      </c>
      <c r="D161">
        <v>2012</v>
      </c>
      <c r="E161" t="s">
        <v>39</v>
      </c>
      <c r="F161" t="s">
        <v>10</v>
      </c>
      <c r="G161">
        <v>331.43373717339898</v>
      </c>
      <c r="H161">
        <v>2975455.4737682799</v>
      </c>
      <c r="I161">
        <v>2975455.4737682799</v>
      </c>
      <c r="J161">
        <v>0</v>
      </c>
      <c r="K161">
        <v>1475622.54199289</v>
      </c>
      <c r="L161">
        <v>0</v>
      </c>
      <c r="M161">
        <v>5.5536797039657602</v>
      </c>
      <c r="N161">
        <v>1.0979023838627799</v>
      </c>
      <c r="O161">
        <v>3.1929642250042001</v>
      </c>
      <c r="P161">
        <v>9.8445463128327493</v>
      </c>
      <c r="Q161">
        <v>2.75031061726277E-2</v>
      </c>
      <c r="R161">
        <v>2.6218941436276499E-4</v>
      </c>
      <c r="S161">
        <v>0</v>
      </c>
      <c r="T161">
        <v>2.77652955869905E-2</v>
      </c>
      <c r="U161">
        <v>9.8396346722234001E-3</v>
      </c>
      <c r="V161">
        <v>4.9846480705913403E-2</v>
      </c>
      <c r="W161">
        <v>8.7451410965127305E-2</v>
      </c>
      <c r="X161">
        <v>2.87466745905278E-2</v>
      </c>
      <c r="Y161">
        <v>2.7404445623195497E-4</v>
      </c>
      <c r="Z161">
        <v>0</v>
      </c>
      <c r="AA161">
        <v>2.9020719046759801E-2</v>
      </c>
      <c r="AB161">
        <v>3.93585386888936E-2</v>
      </c>
      <c r="AC161">
        <v>0.14241851630260899</v>
      </c>
      <c r="AD161">
        <v>0.210797774038263</v>
      </c>
      <c r="AE161">
        <v>3177.03670798747</v>
      </c>
      <c r="AF161">
        <v>250.79515661225699</v>
      </c>
      <c r="AG161">
        <v>0</v>
      </c>
      <c r="AH161">
        <v>3427.8318645997301</v>
      </c>
      <c r="AI161">
        <v>1.2913136104296199E-3</v>
      </c>
      <c r="AJ161">
        <v>8.8099174220194804E-4</v>
      </c>
      <c r="AK161">
        <v>0</v>
      </c>
      <c r="AL161">
        <v>2.17230535263156E-3</v>
      </c>
      <c r="AM161">
        <v>0.50054342715714495</v>
      </c>
      <c r="AN161">
        <v>3.9512879057866802E-2</v>
      </c>
      <c r="AO161">
        <v>0</v>
      </c>
      <c r="AP161">
        <v>0.54005630621501199</v>
      </c>
      <c r="AQ161">
        <v>2.7801627926218E-2</v>
      </c>
      <c r="AR161">
        <v>1.8967510622473999E-2</v>
      </c>
      <c r="AS161">
        <v>0</v>
      </c>
      <c r="AT161">
        <v>4.67691385486921E-2</v>
      </c>
      <c r="AU161">
        <v>0</v>
      </c>
      <c r="AV161">
        <v>0</v>
      </c>
      <c r="AW161">
        <v>0</v>
      </c>
      <c r="AX161">
        <v>4.67691385486921E-2</v>
      </c>
      <c r="AY161">
        <v>3.1650037098253703E-2</v>
      </c>
      <c r="AZ161">
        <v>2.15930670123348E-2</v>
      </c>
      <c r="BA161">
        <v>0</v>
      </c>
      <c r="BB161">
        <v>5.32431041105886E-2</v>
      </c>
      <c r="BC161">
        <v>0</v>
      </c>
      <c r="BD161">
        <v>0</v>
      </c>
      <c r="BE161">
        <v>0</v>
      </c>
      <c r="BF161">
        <v>5.32431041105886E-2</v>
      </c>
      <c r="BG161">
        <v>0.26844535736935199</v>
      </c>
      <c r="BH161">
        <v>0.803176325915963</v>
      </c>
      <c r="BI161">
        <v>0</v>
      </c>
      <c r="BJ161">
        <v>1.07162168328531</v>
      </c>
      <c r="BK161">
        <v>3.0084637791219698E-2</v>
      </c>
      <c r="BL161">
        <v>2.3748801603402001E-3</v>
      </c>
      <c r="BM161">
        <v>0</v>
      </c>
      <c r="BN161">
        <v>3.2459517951559998E-2</v>
      </c>
      <c r="BO161">
        <v>0.72157300245156497</v>
      </c>
      <c r="BP161">
        <v>306.20686259604099</v>
      </c>
    </row>
    <row r="162" spans="1:68" x14ac:dyDescent="0.25">
      <c r="A162" t="s">
        <v>37</v>
      </c>
      <c r="B162">
        <v>2028</v>
      </c>
      <c r="C162" t="s">
        <v>319</v>
      </c>
      <c r="D162">
        <v>2013</v>
      </c>
      <c r="E162" t="s">
        <v>39</v>
      </c>
      <c r="F162" t="s">
        <v>10</v>
      </c>
      <c r="G162">
        <v>379.50198593771302</v>
      </c>
      <c r="H162">
        <v>3438139.9800088</v>
      </c>
      <c r="I162">
        <v>3438139.9800088</v>
      </c>
      <c r="J162">
        <v>0</v>
      </c>
      <c r="K162">
        <v>1689633.9218713201</v>
      </c>
      <c r="L162">
        <v>0</v>
      </c>
      <c r="M162">
        <v>6.1241169439203702</v>
      </c>
      <c r="N162">
        <v>1.2571325375475999</v>
      </c>
      <c r="O162">
        <v>2.6301415286569498</v>
      </c>
      <c r="P162">
        <v>10.0113910101249</v>
      </c>
      <c r="Q162">
        <v>3.08140869013044E-2</v>
      </c>
      <c r="R162">
        <v>3.00215072524313E-4</v>
      </c>
      <c r="S162">
        <v>0</v>
      </c>
      <c r="T162">
        <v>3.1114301973828699E-2</v>
      </c>
      <c r="U162">
        <v>1.1369701766166199E-2</v>
      </c>
      <c r="V162">
        <v>5.7565423253591499E-2</v>
      </c>
      <c r="W162">
        <v>0.100049426993586</v>
      </c>
      <c r="X162">
        <v>3.2207363175495898E-2</v>
      </c>
      <c r="Y162">
        <v>3.13789465919209E-4</v>
      </c>
      <c r="Z162">
        <v>0</v>
      </c>
      <c r="AA162">
        <v>3.2521152641415099E-2</v>
      </c>
      <c r="AB162">
        <v>4.5478807064665103E-2</v>
      </c>
      <c r="AC162">
        <v>0.16447263786740399</v>
      </c>
      <c r="AD162">
        <v>0.24247259757348399</v>
      </c>
      <c r="AE162">
        <v>3330.6517747678199</v>
      </c>
      <c r="AF162">
        <v>287.168291344213</v>
      </c>
      <c r="AG162">
        <v>0</v>
      </c>
      <c r="AH162">
        <v>3617.82006611203</v>
      </c>
      <c r="AI162">
        <v>1.4638184597561899E-3</v>
      </c>
      <c r="AJ162">
        <v>1.0087630746698801E-3</v>
      </c>
      <c r="AK162">
        <v>0</v>
      </c>
      <c r="AL162">
        <v>2.47258153442607E-3</v>
      </c>
      <c r="AM162">
        <v>0.52474554348645697</v>
      </c>
      <c r="AN162">
        <v>4.5243481247450902E-2</v>
      </c>
      <c r="AO162">
        <v>0</v>
      </c>
      <c r="AP162">
        <v>0.569989024733908</v>
      </c>
      <c r="AQ162">
        <v>3.15156100276303E-2</v>
      </c>
      <c r="AR162">
        <v>2.1718392372824899E-2</v>
      </c>
      <c r="AS162">
        <v>0</v>
      </c>
      <c r="AT162">
        <v>5.3234002400455303E-2</v>
      </c>
      <c r="AU162">
        <v>0</v>
      </c>
      <c r="AV162">
        <v>0</v>
      </c>
      <c r="AW162">
        <v>0</v>
      </c>
      <c r="AX162">
        <v>5.3234002400455303E-2</v>
      </c>
      <c r="AY162">
        <v>3.5878123007607898E-2</v>
      </c>
      <c r="AZ162">
        <v>2.4724736484445502E-2</v>
      </c>
      <c r="BA162">
        <v>0</v>
      </c>
      <c r="BB162">
        <v>6.06028594920534E-2</v>
      </c>
      <c r="BC162">
        <v>0</v>
      </c>
      <c r="BD162">
        <v>0</v>
      </c>
      <c r="BE162">
        <v>0</v>
      </c>
      <c r="BF162">
        <v>6.06028594920534E-2</v>
      </c>
      <c r="BG162">
        <v>0.30328528967205498</v>
      </c>
      <c r="BH162">
        <v>0.91966199139165405</v>
      </c>
      <c r="BI162">
        <v>0</v>
      </c>
      <c r="BJ162">
        <v>1.2229472810637001</v>
      </c>
      <c r="BK162">
        <v>3.1539280613489297E-2</v>
      </c>
      <c r="BL162">
        <v>2.7193119955125798E-3</v>
      </c>
      <c r="BM162">
        <v>0</v>
      </c>
      <c r="BN162">
        <v>3.4258592609001798E-2</v>
      </c>
      <c r="BO162">
        <v>0.83377789050958395</v>
      </c>
      <c r="BP162">
        <v>323.17843337701902</v>
      </c>
    </row>
    <row r="163" spans="1:68" x14ac:dyDescent="0.25">
      <c r="A163" t="s">
        <v>37</v>
      </c>
      <c r="B163">
        <v>2028</v>
      </c>
      <c r="C163" t="s">
        <v>319</v>
      </c>
      <c r="D163">
        <v>2014</v>
      </c>
      <c r="E163" t="s">
        <v>39</v>
      </c>
      <c r="F163" t="s">
        <v>10</v>
      </c>
      <c r="G163">
        <v>446.336312310344</v>
      </c>
      <c r="H163">
        <v>4093158.3808394098</v>
      </c>
      <c r="I163">
        <v>4093158.3808394098</v>
      </c>
      <c r="J163">
        <v>0</v>
      </c>
      <c r="K163">
        <v>1987196.3831205999</v>
      </c>
      <c r="L163">
        <v>0</v>
      </c>
      <c r="M163">
        <v>1.25691101693546</v>
      </c>
      <c r="N163">
        <v>1.4785269160263399</v>
      </c>
      <c r="O163">
        <v>3.0933373585764299</v>
      </c>
      <c r="P163">
        <v>5.82877529153824</v>
      </c>
      <c r="Q163">
        <v>1.72759469386192E-2</v>
      </c>
      <c r="R163">
        <v>3.5308613218293302E-4</v>
      </c>
      <c r="S163">
        <v>0</v>
      </c>
      <c r="T163">
        <v>1.76290330708022E-2</v>
      </c>
      <c r="U163">
        <v>1.35358043425883E-2</v>
      </c>
      <c r="V163">
        <v>6.8444213659209996E-2</v>
      </c>
      <c r="W163">
        <v>9.9609051072600596E-2</v>
      </c>
      <c r="X163">
        <v>1.8057088598304401E-2</v>
      </c>
      <c r="Y163">
        <v>3.6905112028373898E-4</v>
      </c>
      <c r="Z163">
        <v>0</v>
      </c>
      <c r="AA163">
        <v>1.84261397185882E-2</v>
      </c>
      <c r="AB163">
        <v>5.4143217370353297E-2</v>
      </c>
      <c r="AC163">
        <v>0.19555489616917099</v>
      </c>
      <c r="AD163">
        <v>0.26812425325811301</v>
      </c>
      <c r="AE163">
        <v>5287.2890397227602</v>
      </c>
      <c r="AF163">
        <v>319.80043441131301</v>
      </c>
      <c r="AG163">
        <v>0</v>
      </c>
      <c r="AH163">
        <v>5607.0894741340799</v>
      </c>
      <c r="AI163">
        <v>1.11252834159289E-3</v>
      </c>
      <c r="AJ163">
        <v>1.1864169554488501E-3</v>
      </c>
      <c r="AK163">
        <v>0</v>
      </c>
      <c r="AL163">
        <v>2.2989452970417399E-3</v>
      </c>
      <c r="AM163">
        <v>0.83301454139940001</v>
      </c>
      <c r="AN163">
        <v>5.0384688676758403E-2</v>
      </c>
      <c r="AO163">
        <v>0</v>
      </c>
      <c r="AP163">
        <v>0.88339923007615895</v>
      </c>
      <c r="AQ163">
        <v>2.3952430114980001E-2</v>
      </c>
      <c r="AR163">
        <v>2.5543231709430701E-2</v>
      </c>
      <c r="AS163">
        <v>0</v>
      </c>
      <c r="AT163">
        <v>4.94956618244108E-2</v>
      </c>
      <c r="AU163">
        <v>0</v>
      </c>
      <c r="AV163">
        <v>0</v>
      </c>
      <c r="AW163">
        <v>0</v>
      </c>
      <c r="AX163">
        <v>4.94956618244108E-2</v>
      </c>
      <c r="AY163">
        <v>2.7268018396057098E-2</v>
      </c>
      <c r="AZ163">
        <v>2.9079024917471701E-2</v>
      </c>
      <c r="BA163">
        <v>0</v>
      </c>
      <c r="BB163">
        <v>5.6347043313528897E-2</v>
      </c>
      <c r="BC163">
        <v>0</v>
      </c>
      <c r="BD163">
        <v>0</v>
      </c>
      <c r="BE163">
        <v>0</v>
      </c>
      <c r="BF163">
        <v>5.6347043313528897E-2</v>
      </c>
      <c r="BG163">
        <v>0.180486389843245</v>
      </c>
      <c r="BH163">
        <v>1.08162422601162</v>
      </c>
      <c r="BI163">
        <v>0</v>
      </c>
      <c r="BJ163">
        <v>1.2621106158548601</v>
      </c>
      <c r="BK163">
        <v>5.0067465464794E-2</v>
      </c>
      <c r="BL163">
        <v>3.0283188766911202E-3</v>
      </c>
      <c r="BM163">
        <v>0</v>
      </c>
      <c r="BN163">
        <v>5.3095784341485097E-2</v>
      </c>
      <c r="BO163">
        <v>0.99262536724556705</v>
      </c>
      <c r="BP163">
        <v>500.8790815854</v>
      </c>
    </row>
    <row r="164" spans="1:68" x14ac:dyDescent="0.25">
      <c r="A164" t="s">
        <v>37</v>
      </c>
      <c r="B164">
        <v>2028</v>
      </c>
      <c r="C164" t="s">
        <v>319</v>
      </c>
      <c r="D164">
        <v>2015</v>
      </c>
      <c r="E164" t="s">
        <v>39</v>
      </c>
      <c r="F164" t="s">
        <v>10</v>
      </c>
      <c r="G164">
        <v>550.76897373456598</v>
      </c>
      <c r="H164">
        <v>5127572.4626273699</v>
      </c>
      <c r="I164">
        <v>5127572.4626273699</v>
      </c>
      <c r="J164">
        <v>0</v>
      </c>
      <c r="K164">
        <v>2452155.6556199798</v>
      </c>
      <c r="L164">
        <v>0</v>
      </c>
      <c r="M164">
        <v>1.55696445350838</v>
      </c>
      <c r="N164">
        <v>1.82446897041296</v>
      </c>
      <c r="O164">
        <v>3.8171087482869699</v>
      </c>
      <c r="P164">
        <v>7.19854217220833</v>
      </c>
      <c r="Q164">
        <v>2.1516859533560698E-2</v>
      </c>
      <c r="R164">
        <v>4.3570034814260802E-4</v>
      </c>
      <c r="S164">
        <v>0</v>
      </c>
      <c r="T164">
        <v>2.1952559881703301E-2</v>
      </c>
      <c r="U164">
        <v>1.69565433703876E-2</v>
      </c>
      <c r="V164">
        <v>8.5694217737676798E-2</v>
      </c>
      <c r="W164">
        <v>0.12460332098976699</v>
      </c>
      <c r="X164">
        <v>2.24897564420183E-2</v>
      </c>
      <c r="Y164">
        <v>4.5540078449395603E-4</v>
      </c>
      <c r="Z164">
        <v>0</v>
      </c>
      <c r="AA164">
        <v>2.2945157226512199E-2</v>
      </c>
      <c r="AB164">
        <v>6.7826173481550497E-2</v>
      </c>
      <c r="AC164">
        <v>0.24484062210764801</v>
      </c>
      <c r="AD164">
        <v>0.33561195281570999</v>
      </c>
      <c r="AE164">
        <v>6623.0843925953204</v>
      </c>
      <c r="AF164">
        <v>394.62654550526503</v>
      </c>
      <c r="AG164">
        <v>0</v>
      </c>
      <c r="AH164">
        <v>7017.7109381005903</v>
      </c>
      <c r="AI164">
        <v>1.3759862806313201E-3</v>
      </c>
      <c r="AJ164">
        <v>1.46401184701171E-3</v>
      </c>
      <c r="AK164">
        <v>0</v>
      </c>
      <c r="AL164">
        <v>2.8399981276430301E-3</v>
      </c>
      <c r="AM164">
        <v>1.04346964323263</v>
      </c>
      <c r="AN164">
        <v>6.2173572951732203E-2</v>
      </c>
      <c r="AO164">
        <v>0</v>
      </c>
      <c r="AP164">
        <v>1.1056432161843599</v>
      </c>
      <c r="AQ164">
        <v>2.9624607296569402E-2</v>
      </c>
      <c r="AR164">
        <v>3.1519773602210602E-2</v>
      </c>
      <c r="AS164">
        <v>0</v>
      </c>
      <c r="AT164">
        <v>6.114438089878E-2</v>
      </c>
      <c r="AU164">
        <v>0</v>
      </c>
      <c r="AV164">
        <v>0</v>
      </c>
      <c r="AW164">
        <v>0</v>
      </c>
      <c r="AX164">
        <v>6.114438089878E-2</v>
      </c>
      <c r="AY164">
        <v>3.3725360343859902E-2</v>
      </c>
      <c r="AZ164">
        <v>3.5882862920330799E-2</v>
      </c>
      <c r="BA164">
        <v>0</v>
      </c>
      <c r="BB164">
        <v>6.9608223264190805E-2</v>
      </c>
      <c r="BC164">
        <v>0</v>
      </c>
      <c r="BD164">
        <v>0</v>
      </c>
      <c r="BE164">
        <v>0</v>
      </c>
      <c r="BF164">
        <v>6.9608223264190805E-2</v>
      </c>
      <c r="BG164">
        <v>0.22263534375853899</v>
      </c>
      <c r="BH164">
        <v>1.3346999751000701</v>
      </c>
      <c r="BI164">
        <v>0</v>
      </c>
      <c r="BJ164">
        <v>1.5573353188586101</v>
      </c>
      <c r="BK164">
        <v>6.2716648665394295E-2</v>
      </c>
      <c r="BL164">
        <v>3.7368774035496598E-3</v>
      </c>
      <c r="BM164">
        <v>0</v>
      </c>
      <c r="BN164">
        <v>6.6453526068943905E-2</v>
      </c>
      <c r="BO164">
        <v>1.2434794907080899</v>
      </c>
      <c r="BP164">
        <v>626.88933817138297</v>
      </c>
    </row>
    <row r="165" spans="1:68" x14ac:dyDescent="0.25">
      <c r="A165" t="s">
        <v>37</v>
      </c>
      <c r="B165">
        <v>2028</v>
      </c>
      <c r="C165" t="s">
        <v>319</v>
      </c>
      <c r="D165">
        <v>2016</v>
      </c>
      <c r="E165" t="s">
        <v>39</v>
      </c>
      <c r="F165" t="s">
        <v>10</v>
      </c>
      <c r="G165">
        <v>858.77867793819496</v>
      </c>
      <c r="H165">
        <v>8138916.1104797199</v>
      </c>
      <c r="I165">
        <v>8138916.1104797199</v>
      </c>
      <c r="J165">
        <v>0</v>
      </c>
      <c r="K165">
        <v>3823488.7810635502</v>
      </c>
      <c r="L165">
        <v>0</v>
      </c>
      <c r="M165">
        <v>2.4469881295382798</v>
      </c>
      <c r="N165">
        <v>2.8447772570167702</v>
      </c>
      <c r="O165">
        <v>6.9027710704277503</v>
      </c>
      <c r="P165">
        <v>12.194536456982799</v>
      </c>
      <c r="Q165">
        <v>3.3802807447900499E-2</v>
      </c>
      <c r="R165">
        <v>6.7935956235519001E-4</v>
      </c>
      <c r="S165">
        <v>0</v>
      </c>
      <c r="T165">
        <v>3.44821670102557E-2</v>
      </c>
      <c r="U165">
        <v>2.6914857863283102E-2</v>
      </c>
      <c r="V165">
        <v>0.13600629007738699</v>
      </c>
      <c r="W165">
        <v>0.197403314950926</v>
      </c>
      <c r="X165">
        <v>3.5331220402957997E-2</v>
      </c>
      <c r="Y165">
        <v>7.1007718715148196E-4</v>
      </c>
      <c r="Z165">
        <v>0</v>
      </c>
      <c r="AA165">
        <v>3.6041297590109503E-2</v>
      </c>
      <c r="AB165">
        <v>0.107659431453132</v>
      </c>
      <c r="AC165">
        <v>0.388589400221106</v>
      </c>
      <c r="AD165">
        <v>0.53229012926434804</v>
      </c>
      <c r="AE165">
        <v>10514.3088608341</v>
      </c>
      <c r="AF165">
        <v>615.31582058880599</v>
      </c>
      <c r="AG165">
        <v>0</v>
      </c>
      <c r="AH165">
        <v>11129.6246814229</v>
      </c>
      <c r="AI165">
        <v>2.1520033194228801E-3</v>
      </c>
      <c r="AJ165">
        <v>2.28273962118376E-3</v>
      </c>
      <c r="AK165">
        <v>0</v>
      </c>
      <c r="AL165">
        <v>4.4347429406066396E-3</v>
      </c>
      <c r="AM165">
        <v>1.6565336428625801</v>
      </c>
      <c r="AN165">
        <v>9.6943258114456296E-2</v>
      </c>
      <c r="AO165">
        <v>0</v>
      </c>
      <c r="AP165">
        <v>1.7534769009770399</v>
      </c>
      <c r="AQ165">
        <v>4.6332041340968903E-2</v>
      </c>
      <c r="AR165">
        <v>4.9146758067137801E-2</v>
      </c>
      <c r="AS165">
        <v>0</v>
      </c>
      <c r="AT165">
        <v>9.5478799408106801E-2</v>
      </c>
      <c r="AU165">
        <v>0</v>
      </c>
      <c r="AV165">
        <v>0</v>
      </c>
      <c r="AW165">
        <v>0</v>
      </c>
      <c r="AX165">
        <v>9.5478799408106801E-2</v>
      </c>
      <c r="AY165">
        <v>5.2745502211998502E-2</v>
      </c>
      <c r="AZ165">
        <v>5.5949842944877301E-2</v>
      </c>
      <c r="BA165">
        <v>0</v>
      </c>
      <c r="BB165">
        <v>0.108695345156875</v>
      </c>
      <c r="BC165">
        <v>0</v>
      </c>
      <c r="BD165">
        <v>0</v>
      </c>
      <c r="BE165">
        <v>0</v>
      </c>
      <c r="BF165">
        <v>0.108695345156875</v>
      </c>
      <c r="BG165">
        <v>0.347869462075036</v>
      </c>
      <c r="BH165">
        <v>2.08111192663698</v>
      </c>
      <c r="BI165">
        <v>0</v>
      </c>
      <c r="BJ165">
        <v>2.4289813887120202</v>
      </c>
      <c r="BK165">
        <v>9.9564217469675503E-2</v>
      </c>
      <c r="BL165">
        <v>5.8266728688028697E-3</v>
      </c>
      <c r="BM165">
        <v>0</v>
      </c>
      <c r="BN165">
        <v>0.105390890338478</v>
      </c>
      <c r="BO165">
        <v>1.9737556775139999</v>
      </c>
      <c r="BP165">
        <v>994.20496400803597</v>
      </c>
    </row>
    <row r="166" spans="1:68" x14ac:dyDescent="0.25">
      <c r="A166" t="s">
        <v>37</v>
      </c>
      <c r="B166">
        <v>2028</v>
      </c>
      <c r="C166" t="s">
        <v>319</v>
      </c>
      <c r="D166">
        <v>2017</v>
      </c>
      <c r="E166" t="s">
        <v>39</v>
      </c>
      <c r="F166" t="s">
        <v>10</v>
      </c>
      <c r="G166">
        <v>805.56126225712899</v>
      </c>
      <c r="H166">
        <v>7792864.8637108998</v>
      </c>
      <c r="I166">
        <v>7792864.8637108998</v>
      </c>
      <c r="J166">
        <v>0</v>
      </c>
      <c r="K166">
        <v>3586552.0742716799</v>
      </c>
      <c r="L166">
        <v>0</v>
      </c>
      <c r="M166">
        <v>2.3197748478728299</v>
      </c>
      <c r="N166">
        <v>2.6684900508995302</v>
      </c>
      <c r="O166">
        <v>6.4750151807632399</v>
      </c>
      <c r="P166">
        <v>11.4632800795356</v>
      </c>
      <c r="Q166">
        <v>3.1786411726262599E-2</v>
      </c>
      <c r="R166">
        <v>6.3726051966169796E-4</v>
      </c>
      <c r="S166">
        <v>0</v>
      </c>
      <c r="T166">
        <v>3.2423672245924198E-2</v>
      </c>
      <c r="U166">
        <v>2.5770489252798401E-2</v>
      </c>
      <c r="V166">
        <v>0.13028303223225501</v>
      </c>
      <c r="W166">
        <v>0.18847719373097699</v>
      </c>
      <c r="X166">
        <v>3.3223652214411099E-2</v>
      </c>
      <c r="Y166">
        <v>6.6607461255912604E-4</v>
      </c>
      <c r="Z166">
        <v>0</v>
      </c>
      <c r="AA166">
        <v>3.3889726826970203E-2</v>
      </c>
      <c r="AB166">
        <v>0.10308195701119301</v>
      </c>
      <c r="AC166">
        <v>0.3722372349493</v>
      </c>
      <c r="AD166">
        <v>0.50920891878746399</v>
      </c>
      <c r="AE166">
        <v>9686.3602628724093</v>
      </c>
      <c r="AF166">
        <v>555.36372528091101</v>
      </c>
      <c r="AG166">
        <v>0</v>
      </c>
      <c r="AH166">
        <v>10241.723988153301</v>
      </c>
      <c r="AI166">
        <v>2.0236602675145501E-3</v>
      </c>
      <c r="AJ166">
        <v>2.1412811681118999E-3</v>
      </c>
      <c r="AK166">
        <v>0</v>
      </c>
      <c r="AL166">
        <v>4.16494143562645E-3</v>
      </c>
      <c r="AM166">
        <v>1.52609000408063</v>
      </c>
      <c r="AN166">
        <v>8.7497781083857307E-2</v>
      </c>
      <c r="AO166">
        <v>0</v>
      </c>
      <c r="AP166">
        <v>1.61358778516449</v>
      </c>
      <c r="AQ166">
        <v>4.3568850627844297E-2</v>
      </c>
      <c r="AR166">
        <v>4.6101196363491102E-2</v>
      </c>
      <c r="AS166">
        <v>0</v>
      </c>
      <c r="AT166">
        <v>8.9670046991335406E-2</v>
      </c>
      <c r="AU166">
        <v>0</v>
      </c>
      <c r="AV166">
        <v>0</v>
      </c>
      <c r="AW166">
        <v>0</v>
      </c>
      <c r="AX166">
        <v>8.9670046991335406E-2</v>
      </c>
      <c r="AY166">
        <v>4.95998199227441E-2</v>
      </c>
      <c r="AZ166">
        <v>5.2482702777357199E-2</v>
      </c>
      <c r="BA166">
        <v>0</v>
      </c>
      <c r="BB166">
        <v>0.102082522700101</v>
      </c>
      <c r="BC166">
        <v>0</v>
      </c>
      <c r="BD166">
        <v>0</v>
      </c>
      <c r="BE166">
        <v>0</v>
      </c>
      <c r="BF166">
        <v>0.102082522700101</v>
      </c>
      <c r="BG166">
        <v>0.32788749540701001</v>
      </c>
      <c r="BH166">
        <v>1.9521480837704901</v>
      </c>
      <c r="BI166">
        <v>0</v>
      </c>
      <c r="BJ166">
        <v>2.2800355791775</v>
      </c>
      <c r="BK166">
        <v>9.1724039351241196E-2</v>
      </c>
      <c r="BL166">
        <v>5.2589623769385098E-3</v>
      </c>
      <c r="BM166">
        <v>0</v>
      </c>
      <c r="BN166">
        <v>9.6983001728179696E-2</v>
      </c>
      <c r="BO166">
        <v>1.8898353368016401</v>
      </c>
      <c r="BP166">
        <v>914.88914680278299</v>
      </c>
    </row>
    <row r="167" spans="1:68" x14ac:dyDescent="0.25">
      <c r="A167" t="s">
        <v>106</v>
      </c>
      <c r="AE167" s="73">
        <f>SUM(AE160:AE166)*453.6*2000/SUM($H$160:$H$166)</f>
        <v>1105.6846028450541</v>
      </c>
      <c r="AI167" s="74">
        <f>SUM(AI160:AI166)*453.6*2000/SUM($H$160:$H$166)</f>
        <v>3.2584717290653922E-4</v>
      </c>
      <c r="AM167" s="74">
        <f>SUM(AM160:AM166)*453.6*2000/SUM($H$160:$H$166)</f>
        <v>0.17420105945629236</v>
      </c>
    </row>
    <row r="168" spans="1:68" x14ac:dyDescent="0.25">
      <c r="A168" t="s">
        <v>283</v>
      </c>
      <c r="AF168" s="73">
        <f>SUM(AF160:AF166)*453.6*2000/SUM($G$160:$G$166)/312</f>
        <v>2096.0138390943794</v>
      </c>
      <c r="AJ168" s="74">
        <f>SUM(AJ160:AJ166)*453.6*2000/SUM($G$160:$G$166)/312</f>
        <v>7.7519583190780736E-3</v>
      </c>
      <c r="AN168" s="74">
        <f>SUM(AN160:AN166)*453.6*2000/SUM($G$160:$G$166)/312</f>
        <v>0.33022783392820737</v>
      </c>
    </row>
    <row r="169" spans="1:68" x14ac:dyDescent="0.25">
      <c r="A169" t="s">
        <v>320</v>
      </c>
      <c r="H169">
        <f>SUM(H160:H166)/SUM(G160:G166)</f>
        <v>9345.1992072674784</v>
      </c>
      <c r="AF169" s="73"/>
      <c r="AJ169" s="74"/>
      <c r="AN169" s="74"/>
      <c r="BP169" s="74">
        <f>SUM(H160:H166)/(SUM(BP160:BP166)*1000)</f>
        <v>8.6382349067155335</v>
      </c>
    </row>
    <row r="171" spans="1:68" x14ac:dyDescent="0.25">
      <c r="A171" t="s">
        <v>37</v>
      </c>
      <c r="B171">
        <v>2029</v>
      </c>
      <c r="C171" t="s">
        <v>318</v>
      </c>
      <c r="D171">
        <v>2011</v>
      </c>
      <c r="E171" t="s">
        <v>39</v>
      </c>
      <c r="F171" t="s">
        <v>10</v>
      </c>
      <c r="G171">
        <v>75.859977969375095</v>
      </c>
      <c r="H171">
        <v>677440.604454224</v>
      </c>
      <c r="I171">
        <v>677440.604454224</v>
      </c>
      <c r="J171">
        <v>0</v>
      </c>
      <c r="K171">
        <v>337746.82831437001</v>
      </c>
      <c r="L171">
        <v>0</v>
      </c>
      <c r="M171">
        <v>1.59373788062477</v>
      </c>
      <c r="N171">
        <v>0.29164392747700502</v>
      </c>
      <c r="O171">
        <v>0.59492698582015302</v>
      </c>
      <c r="P171">
        <v>2.4803087939219299</v>
      </c>
      <c r="Q171">
        <v>1.30412792246899E-2</v>
      </c>
      <c r="R171">
        <v>6.0011039814442899E-5</v>
      </c>
      <c r="S171">
        <v>0</v>
      </c>
      <c r="T171">
        <v>1.31012902645043E-2</v>
      </c>
      <c r="U171">
        <v>2.2402513224362799E-3</v>
      </c>
      <c r="V171">
        <v>1.1323990646614801E-2</v>
      </c>
      <c r="W171">
        <v>2.66655322335555E-2</v>
      </c>
      <c r="X171">
        <v>1.36309480014109E-2</v>
      </c>
      <c r="Y171">
        <v>6.2724472739806805E-5</v>
      </c>
      <c r="Z171">
        <v>0</v>
      </c>
      <c r="AA171">
        <v>1.36936724741507E-2</v>
      </c>
      <c r="AB171">
        <v>8.96100528974513E-3</v>
      </c>
      <c r="AC171">
        <v>3.2354258990328198E-2</v>
      </c>
      <c r="AD171">
        <v>5.5008936754224101E-2</v>
      </c>
      <c r="AE171">
        <v>730.68334359614096</v>
      </c>
      <c r="AF171">
        <v>59.684326452941797</v>
      </c>
      <c r="AG171">
        <v>0</v>
      </c>
      <c r="AH171">
        <v>790.36767004908199</v>
      </c>
      <c r="AI171">
        <v>1.4528780804836899E-3</v>
      </c>
      <c r="AJ171">
        <v>2.19062686055427E-4</v>
      </c>
      <c r="AK171">
        <v>0</v>
      </c>
      <c r="AL171">
        <v>1.67194076653912E-3</v>
      </c>
      <c r="AM171">
        <v>0.115119458346433</v>
      </c>
      <c r="AN171">
        <v>9.4032899384551803E-3</v>
      </c>
      <c r="AO171">
        <v>0</v>
      </c>
      <c r="AP171">
        <v>0.124522748284888</v>
      </c>
      <c r="AQ171">
        <v>3.1280066661983803E-2</v>
      </c>
      <c r="AR171">
        <v>4.7163595590111297E-3</v>
      </c>
      <c r="AS171">
        <v>0</v>
      </c>
      <c r="AT171">
        <v>3.5996426220994901E-2</v>
      </c>
      <c r="AU171">
        <v>0</v>
      </c>
      <c r="AV171">
        <v>0</v>
      </c>
      <c r="AW171">
        <v>0</v>
      </c>
      <c r="AX171">
        <v>3.5996426220994901E-2</v>
      </c>
      <c r="AY171">
        <v>3.5609974815683898E-2</v>
      </c>
      <c r="AZ171">
        <v>5.3692163425665997E-3</v>
      </c>
      <c r="BA171">
        <v>0</v>
      </c>
      <c r="BB171">
        <v>4.0979191158250501E-2</v>
      </c>
      <c r="BC171">
        <v>0</v>
      </c>
      <c r="BD171">
        <v>0</v>
      </c>
      <c r="BE171">
        <v>0</v>
      </c>
      <c r="BF171">
        <v>4.0979191158250501E-2</v>
      </c>
      <c r="BG171">
        <v>9.3128984690508398E-2</v>
      </c>
      <c r="BH171">
        <v>0.15922270836040001</v>
      </c>
      <c r="BI171">
        <v>0</v>
      </c>
      <c r="BJ171">
        <v>0.25235169305090899</v>
      </c>
      <c r="BK171">
        <v>6.91913432315745E-3</v>
      </c>
      <c r="BL171">
        <v>5.6517488093082199E-4</v>
      </c>
      <c r="BM171">
        <v>0</v>
      </c>
      <c r="BN171">
        <v>7.4843092040882703E-3</v>
      </c>
      <c r="BO171">
        <v>0.164285049885006</v>
      </c>
      <c r="BP171">
        <v>70.603230876766702</v>
      </c>
    </row>
    <row r="172" spans="1:68" x14ac:dyDescent="0.25">
      <c r="A172" t="s">
        <v>37</v>
      </c>
      <c r="B172">
        <v>2029</v>
      </c>
      <c r="C172" t="s">
        <v>318</v>
      </c>
      <c r="D172">
        <v>2012</v>
      </c>
      <c r="E172" t="s">
        <v>39</v>
      </c>
      <c r="F172" t="s">
        <v>10</v>
      </c>
      <c r="G172">
        <v>450.33549128652299</v>
      </c>
      <c r="H172">
        <v>4021201.64522052</v>
      </c>
      <c r="I172">
        <v>4021201.64522052</v>
      </c>
      <c r="J172">
        <v>0</v>
      </c>
      <c r="K172">
        <v>2005001.68772551</v>
      </c>
      <c r="L172">
        <v>0</v>
      </c>
      <c r="M172">
        <v>7.5494206298917401</v>
      </c>
      <c r="N172">
        <v>1.4917745358035801</v>
      </c>
      <c r="O172">
        <v>4.3384391860364104</v>
      </c>
      <c r="P172">
        <v>13.379634351731699</v>
      </c>
      <c r="Q172">
        <v>3.7732303367469099E-2</v>
      </c>
      <c r="R172">
        <v>3.5624978837145102E-4</v>
      </c>
      <c r="S172">
        <v>0</v>
      </c>
      <c r="T172">
        <v>3.8088553155840497E-2</v>
      </c>
      <c r="U172">
        <v>1.3297848171864499E-2</v>
      </c>
      <c r="V172">
        <v>6.73177556529055E-2</v>
      </c>
      <c r="W172">
        <v>0.11870415698061</v>
      </c>
      <c r="X172">
        <v>3.9438390691129602E-2</v>
      </c>
      <c r="Y172">
        <v>3.7235782296658401E-4</v>
      </c>
      <c r="Z172">
        <v>0</v>
      </c>
      <c r="AA172">
        <v>3.9810748514096203E-2</v>
      </c>
      <c r="AB172">
        <v>5.3191392687458101E-2</v>
      </c>
      <c r="AC172">
        <v>0.19233644472258701</v>
      </c>
      <c r="AD172">
        <v>0.28533858592414102</v>
      </c>
      <c r="AE172">
        <v>4289.7625914011496</v>
      </c>
      <c r="AF172">
        <v>340.76784405980101</v>
      </c>
      <c r="AG172">
        <v>0</v>
      </c>
      <c r="AH172">
        <v>4630.5304354609498</v>
      </c>
      <c r="AI172">
        <v>1.75240858709579E-3</v>
      </c>
      <c r="AJ172">
        <v>1.19704726630264E-3</v>
      </c>
      <c r="AK172">
        <v>0</v>
      </c>
      <c r="AL172">
        <v>2.9494558533984302E-3</v>
      </c>
      <c r="AM172">
        <v>0.67585384323450903</v>
      </c>
      <c r="AN172">
        <v>5.3688112605627801E-2</v>
      </c>
      <c r="AO172">
        <v>0</v>
      </c>
      <c r="AP172">
        <v>0.72954195584013704</v>
      </c>
      <c r="AQ172">
        <v>3.7728876331550198E-2</v>
      </c>
      <c r="AR172">
        <v>2.5772099387049899E-2</v>
      </c>
      <c r="AS172">
        <v>0</v>
      </c>
      <c r="AT172">
        <v>6.3500975718600194E-2</v>
      </c>
      <c r="AU172">
        <v>0</v>
      </c>
      <c r="AV172">
        <v>0</v>
      </c>
      <c r="AW172">
        <v>0</v>
      </c>
      <c r="AX172">
        <v>6.3500975718600194E-2</v>
      </c>
      <c r="AY172">
        <v>4.2951453732782599E-2</v>
      </c>
      <c r="AZ172">
        <v>2.9339573346738701E-2</v>
      </c>
      <c r="BA172">
        <v>0</v>
      </c>
      <c r="BB172">
        <v>7.2291027079521397E-2</v>
      </c>
      <c r="BC172">
        <v>0</v>
      </c>
      <c r="BD172">
        <v>0</v>
      </c>
      <c r="BE172">
        <v>0</v>
      </c>
      <c r="BF172">
        <v>7.2291027079521397E-2</v>
      </c>
      <c r="BG172">
        <v>0.362882352629738</v>
      </c>
      <c r="BH172">
        <v>1.0913155926906699</v>
      </c>
      <c r="BI172">
        <v>0</v>
      </c>
      <c r="BJ172">
        <v>1.4541979453203999</v>
      </c>
      <c r="BK172">
        <v>4.0621486509162703E-2</v>
      </c>
      <c r="BL172">
        <v>3.2268677077792198E-3</v>
      </c>
      <c r="BM172">
        <v>0</v>
      </c>
      <c r="BN172">
        <v>4.3848354216941901E-2</v>
      </c>
      <c r="BO172">
        <v>0.97517525306141095</v>
      </c>
      <c r="BP172">
        <v>413.643449505521</v>
      </c>
    </row>
    <row r="173" spans="1:68" x14ac:dyDescent="0.25">
      <c r="A173" t="s">
        <v>37</v>
      </c>
      <c r="B173">
        <v>2029</v>
      </c>
      <c r="C173" t="s">
        <v>318</v>
      </c>
      <c r="D173">
        <v>2013</v>
      </c>
      <c r="E173" t="s">
        <v>39</v>
      </c>
      <c r="F173" t="s">
        <v>10</v>
      </c>
      <c r="G173">
        <v>434.28512730306102</v>
      </c>
      <c r="H173">
        <v>3901100.47083419</v>
      </c>
      <c r="I173">
        <v>3901100.47083419</v>
      </c>
      <c r="J173">
        <v>0</v>
      </c>
      <c r="K173">
        <v>1933541.61518378</v>
      </c>
      <c r="L173">
        <v>0</v>
      </c>
      <c r="M173">
        <v>7.0036394702354796</v>
      </c>
      <c r="N173">
        <v>1.4386063428803599</v>
      </c>
      <c r="O173">
        <v>3.0098165251376199</v>
      </c>
      <c r="P173">
        <v>11.4520623382534</v>
      </c>
      <c r="Q173">
        <v>3.5605578519332E-2</v>
      </c>
      <c r="R173">
        <v>3.4355272388724898E-4</v>
      </c>
      <c r="S173">
        <v>0</v>
      </c>
      <c r="T173">
        <v>3.5949131243219301E-2</v>
      </c>
      <c r="U173">
        <v>1.2900681522898E-2</v>
      </c>
      <c r="V173">
        <v>6.5266332945352404E-2</v>
      </c>
      <c r="W173">
        <v>0.114116145711469</v>
      </c>
      <c r="X173">
        <v>3.7215504782561498E-2</v>
      </c>
      <c r="Y173">
        <v>3.5908665356879598E-4</v>
      </c>
      <c r="Z173">
        <v>0</v>
      </c>
      <c r="AA173">
        <v>3.7574591436130303E-2</v>
      </c>
      <c r="AB173">
        <v>5.1602726091591999E-2</v>
      </c>
      <c r="AC173">
        <v>0.186475236986721</v>
      </c>
      <c r="AD173">
        <v>0.27565255451444298</v>
      </c>
      <c r="AE173">
        <v>3775.6568032047999</v>
      </c>
      <c r="AF173">
        <v>328.62257006553699</v>
      </c>
      <c r="AG173">
        <v>0</v>
      </c>
      <c r="AH173">
        <v>4104.2793732703403</v>
      </c>
      <c r="AI173">
        <v>1.6704877783724999E-3</v>
      </c>
      <c r="AJ173">
        <v>1.1543834196787201E-3</v>
      </c>
      <c r="AK173">
        <v>0</v>
      </c>
      <c r="AL173">
        <v>2.82487119805123E-3</v>
      </c>
      <c r="AM173">
        <v>0.59485626694017202</v>
      </c>
      <c r="AN173">
        <v>5.1774619741800601E-2</v>
      </c>
      <c r="AO173">
        <v>0</v>
      </c>
      <c r="AP173">
        <v>0.64663088668197299</v>
      </c>
      <c r="AQ173">
        <v>3.5965143784208703E-2</v>
      </c>
      <c r="AR173">
        <v>2.4853558468593499E-2</v>
      </c>
      <c r="AS173">
        <v>0</v>
      </c>
      <c r="AT173">
        <v>6.0818702252802302E-2</v>
      </c>
      <c r="AU173">
        <v>0</v>
      </c>
      <c r="AV173">
        <v>0</v>
      </c>
      <c r="AW173">
        <v>0</v>
      </c>
      <c r="AX173">
        <v>6.0818702252802302E-2</v>
      </c>
      <c r="AY173">
        <v>4.0943578485228803E-2</v>
      </c>
      <c r="AZ173">
        <v>2.8293884431594502E-2</v>
      </c>
      <c r="BA173">
        <v>0</v>
      </c>
      <c r="BB173">
        <v>6.9237462916823297E-2</v>
      </c>
      <c r="BC173">
        <v>0</v>
      </c>
      <c r="BD173">
        <v>0</v>
      </c>
      <c r="BE173">
        <v>0</v>
      </c>
      <c r="BF173">
        <v>6.9237462916823297E-2</v>
      </c>
      <c r="BG173">
        <v>0.34468331501492999</v>
      </c>
      <c r="BH173">
        <v>1.05242011848884</v>
      </c>
      <c r="BI173">
        <v>0</v>
      </c>
      <c r="BJ173">
        <v>1.39710343350377</v>
      </c>
      <c r="BK173">
        <v>3.5753212124616997E-2</v>
      </c>
      <c r="BL173">
        <v>3.11185922579539E-3</v>
      </c>
      <c r="BM173">
        <v>0</v>
      </c>
      <c r="BN173">
        <v>3.8865071350412402E-2</v>
      </c>
      <c r="BO173">
        <v>0.94604970715292003</v>
      </c>
      <c r="BP173">
        <v>366.63365058411603</v>
      </c>
    </row>
    <row r="174" spans="1:68" x14ac:dyDescent="0.25">
      <c r="A174" t="s">
        <v>37</v>
      </c>
      <c r="B174">
        <v>2029</v>
      </c>
      <c r="C174" t="s">
        <v>318</v>
      </c>
      <c r="D174">
        <v>2014</v>
      </c>
      <c r="E174" t="s">
        <v>39</v>
      </c>
      <c r="F174" t="s">
        <v>10</v>
      </c>
      <c r="G174">
        <v>383.03558596160798</v>
      </c>
      <c r="H174">
        <v>3472448.2724734698</v>
      </c>
      <c r="I174">
        <v>3472448.2724734698</v>
      </c>
      <c r="J174">
        <v>0</v>
      </c>
      <c r="K174">
        <v>1705366.3572417099</v>
      </c>
      <c r="L174">
        <v>0</v>
      </c>
      <c r="M174">
        <v>1.06851098049319</v>
      </c>
      <c r="N174">
        <v>1.26883788753079</v>
      </c>
      <c r="O174">
        <v>2.6546311716967699</v>
      </c>
      <c r="P174">
        <v>4.9919800397207599</v>
      </c>
      <c r="Q174">
        <v>1.4833310132360099E-2</v>
      </c>
      <c r="R174">
        <v>3.0301042018191502E-4</v>
      </c>
      <c r="S174">
        <v>0</v>
      </c>
      <c r="T174">
        <v>1.5136320552542E-2</v>
      </c>
      <c r="U174">
        <v>1.1483157022699701E-2</v>
      </c>
      <c r="V174">
        <v>5.8025691083558303E-2</v>
      </c>
      <c r="W174">
        <v>8.4645168658800202E-2</v>
      </c>
      <c r="X174">
        <v>1.5504006594706601E-2</v>
      </c>
      <c r="Y174">
        <v>3.1671120679371498E-4</v>
      </c>
      <c r="Z174">
        <v>0</v>
      </c>
      <c r="AA174">
        <v>1.5820717801500302E-2</v>
      </c>
      <c r="AB174">
        <v>4.5932628090799003E-2</v>
      </c>
      <c r="AC174">
        <v>0.16578768881016601</v>
      </c>
      <c r="AD174">
        <v>0.22754103470246601</v>
      </c>
      <c r="AE174">
        <v>4483.6757133024603</v>
      </c>
      <c r="AF174">
        <v>274.44539780204599</v>
      </c>
      <c r="AG174">
        <v>0</v>
      </c>
      <c r="AH174">
        <v>4758.1211111045104</v>
      </c>
      <c r="AI174">
        <v>9.5329703940295299E-4</v>
      </c>
      <c r="AJ174">
        <v>1.0181558192584299E-3</v>
      </c>
      <c r="AK174">
        <v>0</v>
      </c>
      <c r="AL174">
        <v>1.9714528586613801E-3</v>
      </c>
      <c r="AM174">
        <v>0.70640493455907605</v>
      </c>
      <c r="AN174">
        <v>4.3238984188622001E-2</v>
      </c>
      <c r="AO174">
        <v>0</v>
      </c>
      <c r="AP174">
        <v>0.74964391874769898</v>
      </c>
      <c r="AQ174">
        <v>2.0524223843523499E-2</v>
      </c>
      <c r="AR174">
        <v>2.1920615588121101E-2</v>
      </c>
      <c r="AS174">
        <v>0</v>
      </c>
      <c r="AT174">
        <v>4.2444839431644697E-2</v>
      </c>
      <c r="AU174">
        <v>0</v>
      </c>
      <c r="AV174">
        <v>0</v>
      </c>
      <c r="AW174">
        <v>0</v>
      </c>
      <c r="AX174">
        <v>4.2444839431644697E-2</v>
      </c>
      <c r="AY174">
        <v>2.33652665154832E-2</v>
      </c>
      <c r="AZ174">
        <v>2.4954952221568402E-2</v>
      </c>
      <c r="BA174">
        <v>0</v>
      </c>
      <c r="BB174">
        <v>4.8320218737051598E-2</v>
      </c>
      <c r="BC174">
        <v>0</v>
      </c>
      <c r="BD174">
        <v>0</v>
      </c>
      <c r="BE174">
        <v>0</v>
      </c>
      <c r="BF174">
        <v>4.8320218737051598E-2</v>
      </c>
      <c r="BG174">
        <v>0.15430312603763499</v>
      </c>
      <c r="BH174">
        <v>0.92822510240338896</v>
      </c>
      <c r="BI174">
        <v>0</v>
      </c>
      <c r="BJ174">
        <v>1.08252822844102</v>
      </c>
      <c r="BK174">
        <v>4.2457727815628801E-2</v>
      </c>
      <c r="BL174">
        <v>2.5988338018203098E-3</v>
      </c>
      <c r="BM174">
        <v>0</v>
      </c>
      <c r="BN174">
        <v>4.5056561617449198E-2</v>
      </c>
      <c r="BO174">
        <v>0.842097940270356</v>
      </c>
      <c r="BP174">
        <v>425.04107401820698</v>
      </c>
    </row>
    <row r="175" spans="1:68" x14ac:dyDescent="0.25">
      <c r="A175" t="s">
        <v>37</v>
      </c>
      <c r="B175">
        <v>2029</v>
      </c>
      <c r="C175" t="s">
        <v>318</v>
      </c>
      <c r="D175">
        <v>2015</v>
      </c>
      <c r="E175" t="s">
        <v>39</v>
      </c>
      <c r="F175" t="s">
        <v>10</v>
      </c>
      <c r="G175">
        <v>711.03141081018896</v>
      </c>
      <c r="H175">
        <v>6524953.1311750496</v>
      </c>
      <c r="I175">
        <v>6524953.1311750496</v>
      </c>
      <c r="J175">
        <v>0</v>
      </c>
      <c r="K175">
        <v>3165682.4884655499</v>
      </c>
      <c r="L175">
        <v>0</v>
      </c>
      <c r="M175">
        <v>1.98463404763322</v>
      </c>
      <c r="N175">
        <v>2.35535189503479</v>
      </c>
      <c r="O175">
        <v>4.9278088417127597</v>
      </c>
      <c r="P175">
        <v>9.26779478438079</v>
      </c>
      <c r="Q175">
        <v>2.7767403288439099E-2</v>
      </c>
      <c r="R175">
        <v>5.6248018316952997E-4</v>
      </c>
      <c r="S175">
        <v>0</v>
      </c>
      <c r="T175">
        <v>2.83298834716087E-2</v>
      </c>
      <c r="U175">
        <v>2.1577588920472901E-2</v>
      </c>
      <c r="V175">
        <v>0.108952186839198</v>
      </c>
      <c r="W175">
        <v>0.15885965923128001</v>
      </c>
      <c r="X175">
        <v>2.9022922049115201E-2</v>
      </c>
      <c r="Y175">
        <v>5.8791304108360897E-4</v>
      </c>
      <c r="Z175">
        <v>0</v>
      </c>
      <c r="AA175">
        <v>2.9610835090198798E-2</v>
      </c>
      <c r="AB175">
        <v>8.6310355681891604E-2</v>
      </c>
      <c r="AC175">
        <v>0.31129196239771001</v>
      </c>
      <c r="AD175">
        <v>0.42721315316980002</v>
      </c>
      <c r="AE175">
        <v>8422.59202663627</v>
      </c>
      <c r="AF175">
        <v>509.45474922298598</v>
      </c>
      <c r="AG175">
        <v>0</v>
      </c>
      <c r="AH175">
        <v>8932.0467758592604</v>
      </c>
      <c r="AI175">
        <v>1.7715160269880399E-3</v>
      </c>
      <c r="AJ175">
        <v>1.89000916657514E-3</v>
      </c>
      <c r="AK175">
        <v>0</v>
      </c>
      <c r="AL175">
        <v>3.6615251935631799E-3</v>
      </c>
      <c r="AM175">
        <v>1.3269828038057301</v>
      </c>
      <c r="AN175">
        <v>8.0264803209999E-2</v>
      </c>
      <c r="AO175">
        <v>0</v>
      </c>
      <c r="AP175">
        <v>1.40724760701573</v>
      </c>
      <c r="AQ175">
        <v>3.8140254272753901E-2</v>
      </c>
      <c r="AR175">
        <v>4.0691379074663102E-2</v>
      </c>
      <c r="AS175">
        <v>0</v>
      </c>
      <c r="AT175">
        <v>7.8831633347416996E-2</v>
      </c>
      <c r="AU175">
        <v>0</v>
      </c>
      <c r="AV175">
        <v>0</v>
      </c>
      <c r="AW175">
        <v>0</v>
      </c>
      <c r="AX175">
        <v>7.8831633347416996E-2</v>
      </c>
      <c r="AY175">
        <v>4.3419776204223999E-2</v>
      </c>
      <c r="AZ175">
        <v>4.6324037596290099E-2</v>
      </c>
      <c r="BA175">
        <v>0</v>
      </c>
      <c r="BB175">
        <v>8.9743813800514105E-2</v>
      </c>
      <c r="BC175">
        <v>0</v>
      </c>
      <c r="BD175">
        <v>0</v>
      </c>
      <c r="BE175">
        <v>0</v>
      </c>
      <c r="BF175">
        <v>8.9743813800514105E-2</v>
      </c>
      <c r="BG175">
        <v>0.28588998625237599</v>
      </c>
      <c r="BH175">
        <v>1.7230702010477399</v>
      </c>
      <c r="BI175">
        <v>0</v>
      </c>
      <c r="BJ175">
        <v>2.0089601873001199</v>
      </c>
      <c r="BK175">
        <v>7.9756909873754903E-2</v>
      </c>
      <c r="BL175">
        <v>4.8242318267386801E-3</v>
      </c>
      <c r="BM175">
        <v>0</v>
      </c>
      <c r="BN175">
        <v>8.4581141700493606E-2</v>
      </c>
      <c r="BO175">
        <v>1.58235606723932</v>
      </c>
      <c r="BP175">
        <v>797.89620023160603</v>
      </c>
    </row>
    <row r="176" spans="1:68" x14ac:dyDescent="0.25">
      <c r="A176" t="s">
        <v>37</v>
      </c>
      <c r="B176">
        <v>2029</v>
      </c>
      <c r="C176" t="s">
        <v>318</v>
      </c>
      <c r="D176">
        <v>2016</v>
      </c>
      <c r="E176" t="s">
        <v>39</v>
      </c>
      <c r="F176" t="s">
        <v>10</v>
      </c>
      <c r="G176">
        <v>787.78966842484294</v>
      </c>
      <c r="H176">
        <v>7338366.6635840703</v>
      </c>
      <c r="I176">
        <v>7338366.6635840703</v>
      </c>
      <c r="J176">
        <v>0</v>
      </c>
      <c r="K176">
        <v>3507428.6733478201</v>
      </c>
      <c r="L176">
        <v>0</v>
      </c>
      <c r="M176">
        <v>2.2227071783004102</v>
      </c>
      <c r="N176">
        <v>2.6096201380175899</v>
      </c>
      <c r="O176">
        <v>6.3321690122072498</v>
      </c>
      <c r="P176">
        <v>11.1644963285252</v>
      </c>
      <c r="Q176">
        <v>3.08464863841105E-2</v>
      </c>
      <c r="R176">
        <v>6.2320183083018599E-4</v>
      </c>
      <c r="S176">
        <v>0</v>
      </c>
      <c r="T176">
        <v>3.14696882149407E-2</v>
      </c>
      <c r="U176">
        <v>2.42674937323278E-2</v>
      </c>
      <c r="V176">
        <v>0.122604875888568</v>
      </c>
      <c r="W176">
        <v>0.17834205783583701</v>
      </c>
      <c r="X176">
        <v>3.22412276191439E-2</v>
      </c>
      <c r="Y176">
        <v>6.5138025220315898E-4</v>
      </c>
      <c r="Z176">
        <v>0</v>
      </c>
      <c r="AA176">
        <v>3.2892607871346999E-2</v>
      </c>
      <c r="AB176">
        <v>9.7069974929311201E-2</v>
      </c>
      <c r="AC176">
        <v>0.35029964539591002</v>
      </c>
      <c r="AD176">
        <v>0.480262228196569</v>
      </c>
      <c r="AE176">
        <v>9476.6720899712509</v>
      </c>
      <c r="AF176">
        <v>564.45212105402595</v>
      </c>
      <c r="AG176">
        <v>0</v>
      </c>
      <c r="AH176">
        <v>10041.124211025201</v>
      </c>
      <c r="AI176">
        <v>1.9685686880889998E-3</v>
      </c>
      <c r="AJ176">
        <v>2.0940420803064199E-3</v>
      </c>
      <c r="AK176">
        <v>0</v>
      </c>
      <c r="AL176">
        <v>4.0626107683954197E-3</v>
      </c>
      <c r="AM176">
        <v>1.49305354704682</v>
      </c>
      <c r="AN176">
        <v>8.8929661539062094E-2</v>
      </c>
      <c r="AO176">
        <v>0</v>
      </c>
      <c r="AP176">
        <v>1.58198320858589</v>
      </c>
      <c r="AQ176">
        <v>4.2382744030123799E-2</v>
      </c>
      <c r="AR176">
        <v>4.5084151757026403E-2</v>
      </c>
      <c r="AS176">
        <v>0</v>
      </c>
      <c r="AT176">
        <v>8.7466895787150306E-2</v>
      </c>
      <c r="AU176">
        <v>0</v>
      </c>
      <c r="AV176">
        <v>0</v>
      </c>
      <c r="AW176">
        <v>0</v>
      </c>
      <c r="AX176">
        <v>8.7466895787150306E-2</v>
      </c>
      <c r="AY176">
        <v>4.8249527849202098E-2</v>
      </c>
      <c r="AZ176">
        <v>5.1324874911643302E-2</v>
      </c>
      <c r="BA176">
        <v>0</v>
      </c>
      <c r="BB176">
        <v>9.9574402760845407E-2</v>
      </c>
      <c r="BC176">
        <v>0</v>
      </c>
      <c r="BD176">
        <v>0</v>
      </c>
      <c r="BE176">
        <v>0</v>
      </c>
      <c r="BF176">
        <v>9.9574402760845407E-2</v>
      </c>
      <c r="BG176">
        <v>0.31814518516912199</v>
      </c>
      <c r="BH176">
        <v>1.9090814860196399</v>
      </c>
      <c r="BI176">
        <v>0</v>
      </c>
      <c r="BJ176">
        <v>2.2272266711887698</v>
      </c>
      <c r="BK176">
        <v>8.9738417745115595E-2</v>
      </c>
      <c r="BL176">
        <v>5.3450240501480102E-3</v>
      </c>
      <c r="BM176">
        <v>0</v>
      </c>
      <c r="BN176">
        <v>9.5083441795263596E-2</v>
      </c>
      <c r="BO176">
        <v>1.7796156968958801</v>
      </c>
      <c r="BP176">
        <v>896.96964817562002</v>
      </c>
    </row>
    <row r="177" spans="1:68" x14ac:dyDescent="0.25">
      <c r="A177" t="s">
        <v>37</v>
      </c>
      <c r="B177">
        <v>2029</v>
      </c>
      <c r="C177" t="s">
        <v>318</v>
      </c>
      <c r="D177">
        <v>2017</v>
      </c>
      <c r="E177" t="s">
        <v>39</v>
      </c>
      <c r="F177" t="s">
        <v>10</v>
      </c>
      <c r="G177">
        <v>550.30779989295797</v>
      </c>
      <c r="H177">
        <v>5218891.5469655199</v>
      </c>
      <c r="I177">
        <v>5218891.5469655199</v>
      </c>
      <c r="J177">
        <v>0</v>
      </c>
      <c r="K177">
        <v>2450102.39899542</v>
      </c>
      <c r="L177">
        <v>0</v>
      </c>
      <c r="M177">
        <v>1.56138543897659</v>
      </c>
      <c r="N177">
        <v>1.8229412929218001</v>
      </c>
      <c r="O177">
        <v>4.4233151783083802</v>
      </c>
      <c r="P177">
        <v>7.8076419102067796</v>
      </c>
      <c r="Q177">
        <v>2.1698991980310299E-2</v>
      </c>
      <c r="R177">
        <v>4.3533552439084999E-4</v>
      </c>
      <c r="S177">
        <v>0</v>
      </c>
      <c r="T177">
        <v>2.2134327504701099E-2</v>
      </c>
      <c r="U177">
        <v>1.7258529549112001E-2</v>
      </c>
      <c r="V177">
        <v>8.7163169819220995E-2</v>
      </c>
      <c r="W177">
        <v>0.12655602687303399</v>
      </c>
      <c r="X177">
        <v>2.2680124109809099E-2</v>
      </c>
      <c r="Y177">
        <v>4.55019465031025E-4</v>
      </c>
      <c r="Z177">
        <v>0</v>
      </c>
      <c r="AA177">
        <v>2.31351435748401E-2</v>
      </c>
      <c r="AB177">
        <v>6.9034118196448196E-2</v>
      </c>
      <c r="AC177">
        <v>0.249037628054917</v>
      </c>
      <c r="AD177">
        <v>0.34120688982620501</v>
      </c>
      <c r="AE177">
        <v>6483.30448497616</v>
      </c>
      <c r="AF177">
        <v>379.38888588480103</v>
      </c>
      <c r="AG177">
        <v>0</v>
      </c>
      <c r="AH177">
        <v>6862.6933708609604</v>
      </c>
      <c r="AI177">
        <v>1.37804311625227E-3</v>
      </c>
      <c r="AJ177">
        <v>1.4627859900737401E-3</v>
      </c>
      <c r="AK177">
        <v>0</v>
      </c>
      <c r="AL177">
        <v>2.8408291063260101E-3</v>
      </c>
      <c r="AM177">
        <v>1.0214472618633801</v>
      </c>
      <c r="AN177">
        <v>5.9772873473156699E-2</v>
      </c>
      <c r="AO177">
        <v>0</v>
      </c>
      <c r="AP177">
        <v>1.0812201353365301</v>
      </c>
      <c r="AQ177">
        <v>2.96688904034592E-2</v>
      </c>
      <c r="AR177">
        <v>3.1493381238492803E-2</v>
      </c>
      <c r="AS177">
        <v>0</v>
      </c>
      <c r="AT177">
        <v>6.11622716419521E-2</v>
      </c>
      <c r="AU177">
        <v>0</v>
      </c>
      <c r="AV177">
        <v>0</v>
      </c>
      <c r="AW177">
        <v>0</v>
      </c>
      <c r="AX177">
        <v>6.11622716419521E-2</v>
      </c>
      <c r="AY177">
        <v>3.3775773290166802E-2</v>
      </c>
      <c r="AZ177">
        <v>3.58528172232589E-2</v>
      </c>
      <c r="BA177">
        <v>0</v>
      </c>
      <c r="BB177">
        <v>6.9628590513425806E-2</v>
      </c>
      <c r="BC177">
        <v>0</v>
      </c>
      <c r="BD177">
        <v>0</v>
      </c>
      <c r="BE177">
        <v>0</v>
      </c>
      <c r="BF177">
        <v>6.9628590513425806E-2</v>
      </c>
      <c r="BG177">
        <v>0.22253169609045401</v>
      </c>
      <c r="BH177">
        <v>1.3335823945095</v>
      </c>
      <c r="BI177">
        <v>0</v>
      </c>
      <c r="BJ177">
        <v>1.55611409059996</v>
      </c>
      <c r="BK177">
        <v>6.1393016527106402E-2</v>
      </c>
      <c r="BL177">
        <v>3.59258587889871E-3</v>
      </c>
      <c r="BM177">
        <v>0</v>
      </c>
      <c r="BN177">
        <v>6.4985602406005094E-2</v>
      </c>
      <c r="BO177">
        <v>1.2656251374663501</v>
      </c>
      <c r="BP177">
        <v>613.04168029704897</v>
      </c>
    </row>
    <row r="178" spans="1:68" x14ac:dyDescent="0.25">
      <c r="A178" t="s">
        <v>106</v>
      </c>
      <c r="AE178" s="73">
        <f>SUM(AE171:AE177)*453.6*2000/SUM($H$171:$H$177)</f>
        <v>1096.7079669667794</v>
      </c>
      <c r="AI178" s="74">
        <f>SUM(AI171:AI177)*453.6*2000/SUM($H$171:$H$177)</f>
        <v>3.1877675307005157E-4</v>
      </c>
      <c r="AM178" s="74">
        <f>SUM(AM171:AM177)*453.6*2000/SUM($H$171:$H$177)</f>
        <v>0.17278678681803253</v>
      </c>
    </row>
    <row r="179" spans="1:68" x14ac:dyDescent="0.25">
      <c r="A179" t="s">
        <v>283</v>
      </c>
      <c r="AF179" s="73">
        <f>SUM(AF171:AF177)*453.6*2000/SUM($G$171:$G$177)/312</f>
        <v>2105.632787446712</v>
      </c>
      <c r="AJ179" s="74">
        <f>SUM(AJ171:AJ177)*453.6*2000/SUM($G$171:$G$177)/312</f>
        <v>7.7439325087888646E-3</v>
      </c>
      <c r="AN179" s="74">
        <f>SUM(AN171:AN177)*453.6*2000/SUM($G$171:$G$177)/312</f>
        <v>0.33174330315832989</v>
      </c>
    </row>
    <row r="180" spans="1:68" x14ac:dyDescent="0.25">
      <c r="A180" t="s">
        <v>320</v>
      </c>
      <c r="H180">
        <f>SUM(H171:H177)/SUM(G171:G177)</f>
        <v>9182.9241693702152</v>
      </c>
      <c r="AF180" s="73"/>
      <c r="AJ180" s="74"/>
      <c r="AN180" s="74"/>
      <c r="BP180" s="74">
        <f>SUM(H171:H177)/(SUM(BP171:BP177)*1000)</f>
        <v>8.6930495040786937</v>
      </c>
    </row>
    <row r="182" spans="1:68" x14ac:dyDescent="0.25">
      <c r="A182" t="s">
        <v>37</v>
      </c>
      <c r="B182">
        <v>2029</v>
      </c>
      <c r="C182" t="s">
        <v>319</v>
      </c>
      <c r="D182">
        <v>2011</v>
      </c>
      <c r="E182" t="s">
        <v>39</v>
      </c>
      <c r="F182" t="s">
        <v>10</v>
      </c>
      <c r="G182">
        <v>106.940232747783</v>
      </c>
      <c r="H182">
        <v>954323.38229287195</v>
      </c>
      <c r="I182">
        <v>954323.38229287195</v>
      </c>
      <c r="J182">
        <v>0</v>
      </c>
      <c r="K182">
        <v>476123.58184899</v>
      </c>
      <c r="L182">
        <v>0</v>
      </c>
      <c r="M182">
        <v>2.2549069929441199</v>
      </c>
      <c r="N182">
        <v>0.41113206619251103</v>
      </c>
      <c r="O182">
        <v>0.83867187988409997</v>
      </c>
      <c r="P182">
        <v>3.5047109390207298</v>
      </c>
      <c r="Q182">
        <v>1.8054924513933299E-2</v>
      </c>
      <c r="R182">
        <v>8.4597896505896704E-5</v>
      </c>
      <c r="S182">
        <v>0</v>
      </c>
      <c r="T182">
        <v>1.8139522410439202E-2</v>
      </c>
      <c r="U182">
        <v>3.15588437592371E-3</v>
      </c>
      <c r="V182">
        <v>1.5990803257772301E-2</v>
      </c>
      <c r="W182">
        <v>3.7286210044135203E-2</v>
      </c>
      <c r="X182">
        <v>1.8871288082912399E-2</v>
      </c>
      <c r="Y182">
        <v>8.8423037988287405E-5</v>
      </c>
      <c r="Z182">
        <v>0</v>
      </c>
      <c r="AA182">
        <v>1.89597111209007E-2</v>
      </c>
      <c r="AB182">
        <v>1.26235375036948E-2</v>
      </c>
      <c r="AC182">
        <v>4.5688009307920899E-2</v>
      </c>
      <c r="AD182">
        <v>7.7271257932516393E-2</v>
      </c>
      <c r="AE182">
        <v>1032.80015259574</v>
      </c>
      <c r="AF182">
        <v>84.1373268635638</v>
      </c>
      <c r="AG182">
        <v>0</v>
      </c>
      <c r="AH182">
        <v>1116.9374794593</v>
      </c>
      <c r="AI182">
        <v>2.06000526025911E-3</v>
      </c>
      <c r="AJ182">
        <v>3.0881388658692498E-4</v>
      </c>
      <c r="AK182">
        <v>0</v>
      </c>
      <c r="AL182">
        <v>2.36881914684603E-3</v>
      </c>
      <c r="AM182">
        <v>0.16271808463811199</v>
      </c>
      <c r="AN182">
        <v>1.3255870111367699E-2</v>
      </c>
      <c r="AO182">
        <v>0</v>
      </c>
      <c r="AP182">
        <v>0.17597395474947999</v>
      </c>
      <c r="AQ182">
        <v>4.4351348355045603E-2</v>
      </c>
      <c r="AR182">
        <v>6.6486782947192697E-3</v>
      </c>
      <c r="AS182">
        <v>0</v>
      </c>
      <c r="AT182">
        <v>5.1000026649764899E-2</v>
      </c>
      <c r="AU182">
        <v>0</v>
      </c>
      <c r="AV182">
        <v>0</v>
      </c>
      <c r="AW182">
        <v>0</v>
      </c>
      <c r="AX182">
        <v>5.1000026649764899E-2</v>
      </c>
      <c r="AY182">
        <v>5.0490634020427402E-2</v>
      </c>
      <c r="AZ182">
        <v>7.56901413257799E-3</v>
      </c>
      <c r="BA182">
        <v>0</v>
      </c>
      <c r="BB182">
        <v>5.8059648153005398E-2</v>
      </c>
      <c r="BC182">
        <v>0</v>
      </c>
      <c r="BD182">
        <v>0</v>
      </c>
      <c r="BE182">
        <v>0</v>
      </c>
      <c r="BF182">
        <v>5.8059648153005398E-2</v>
      </c>
      <c r="BG182">
        <v>0.133623760406028</v>
      </c>
      <c r="BH182">
        <v>0.22445713730192601</v>
      </c>
      <c r="BI182">
        <v>0</v>
      </c>
      <c r="BJ182">
        <v>0.35808089770795398</v>
      </c>
      <c r="BK182">
        <v>9.7799998418154708E-3</v>
      </c>
      <c r="BL182">
        <v>7.9673017219093604E-4</v>
      </c>
      <c r="BM182">
        <v>0</v>
      </c>
      <c r="BN182">
        <v>1.05767300140064E-2</v>
      </c>
      <c r="BO182">
        <v>0.23143145455935801</v>
      </c>
      <c r="BP182">
        <v>99.775582587129406</v>
      </c>
    </row>
    <row r="183" spans="1:68" x14ac:dyDescent="0.25">
      <c r="A183" t="s">
        <v>37</v>
      </c>
      <c r="B183">
        <v>2029</v>
      </c>
      <c r="C183" t="s">
        <v>319</v>
      </c>
      <c r="D183">
        <v>2012</v>
      </c>
      <c r="E183" t="s">
        <v>39</v>
      </c>
      <c r="F183" t="s">
        <v>10</v>
      </c>
      <c r="G183">
        <v>296.566596738334</v>
      </c>
      <c r="H183">
        <v>2646495.5741919898</v>
      </c>
      <c r="I183">
        <v>2646495.5741919898</v>
      </c>
      <c r="J183">
        <v>0</v>
      </c>
      <c r="K183">
        <v>1320385.6646622799</v>
      </c>
      <c r="L183">
        <v>0</v>
      </c>
      <c r="M183">
        <v>4.9749198628261597</v>
      </c>
      <c r="N183">
        <v>0.982402021924347</v>
      </c>
      <c r="O183">
        <v>2.8570613896838601</v>
      </c>
      <c r="P183">
        <v>8.8143832744343698</v>
      </c>
      <c r="Q183">
        <v>2.4687768223770699E-2</v>
      </c>
      <c r="R183">
        <v>2.34606841722035E-4</v>
      </c>
      <c r="S183">
        <v>0</v>
      </c>
      <c r="T183">
        <v>2.4922375065492702E-2</v>
      </c>
      <c r="U183">
        <v>8.7517860177306304E-3</v>
      </c>
      <c r="V183">
        <v>4.4335553367475501E-2</v>
      </c>
      <c r="W183">
        <v>7.8009714450698903E-2</v>
      </c>
      <c r="X183">
        <v>2.5804039552500602E-2</v>
      </c>
      <c r="Y183">
        <v>2.4521472205226401E-4</v>
      </c>
      <c r="Z183">
        <v>0</v>
      </c>
      <c r="AA183">
        <v>2.6049254274552899E-2</v>
      </c>
      <c r="AB183">
        <v>3.5007144070922501E-2</v>
      </c>
      <c r="AC183">
        <v>0.126673009621358</v>
      </c>
      <c r="AD183">
        <v>0.18772940796683399</v>
      </c>
      <c r="AE183">
        <v>2825.7898622612001</v>
      </c>
      <c r="AF183">
        <v>224.41127058843099</v>
      </c>
      <c r="AG183">
        <v>0</v>
      </c>
      <c r="AH183">
        <v>3050.2011328496301</v>
      </c>
      <c r="AI183">
        <v>1.1546463824958599E-3</v>
      </c>
      <c r="AJ183">
        <v>7.8831058348991997E-4</v>
      </c>
      <c r="AK183">
        <v>0</v>
      </c>
      <c r="AL183">
        <v>1.9429569659857801E-3</v>
      </c>
      <c r="AM183">
        <v>0.44520434357150501</v>
      </c>
      <c r="AN183">
        <v>3.5356087070261701E-2</v>
      </c>
      <c r="AO183">
        <v>0</v>
      </c>
      <c r="AP183">
        <v>0.48056043064176701</v>
      </c>
      <c r="AQ183">
        <v>2.48592199859363E-2</v>
      </c>
      <c r="AR183">
        <v>1.6972110690597501E-2</v>
      </c>
      <c r="AS183">
        <v>0</v>
      </c>
      <c r="AT183">
        <v>4.1831330676533801E-2</v>
      </c>
      <c r="AU183">
        <v>0</v>
      </c>
      <c r="AV183">
        <v>0</v>
      </c>
      <c r="AW183">
        <v>0</v>
      </c>
      <c r="AX183">
        <v>4.1831330676533801E-2</v>
      </c>
      <c r="AY183">
        <v>2.83003296381273E-2</v>
      </c>
      <c r="AZ183">
        <v>1.9321456082307599E-2</v>
      </c>
      <c r="BA183">
        <v>0</v>
      </c>
      <c r="BB183">
        <v>4.7621785720435003E-2</v>
      </c>
      <c r="BC183">
        <v>0</v>
      </c>
      <c r="BD183">
        <v>0</v>
      </c>
      <c r="BE183">
        <v>0</v>
      </c>
      <c r="BF183">
        <v>4.7621785720435003E-2</v>
      </c>
      <c r="BG183">
        <v>0.24003398344669499</v>
      </c>
      <c r="BH183">
        <v>0.718681422081896</v>
      </c>
      <c r="BI183">
        <v>0</v>
      </c>
      <c r="BJ183">
        <v>0.95871540552859202</v>
      </c>
      <c r="BK183">
        <v>2.6758540203988102E-2</v>
      </c>
      <c r="BL183">
        <v>2.1250405369716498E-3</v>
      </c>
      <c r="BM183">
        <v>0</v>
      </c>
      <c r="BN183">
        <v>2.8883580740959799E-2</v>
      </c>
      <c r="BO183">
        <v>0.64179745732374205</v>
      </c>
      <c r="BP183">
        <v>272.473258919844</v>
      </c>
    </row>
    <row r="184" spans="1:68" x14ac:dyDescent="0.25">
      <c r="A184" t="s">
        <v>37</v>
      </c>
      <c r="B184">
        <v>2029</v>
      </c>
      <c r="C184" t="s">
        <v>319</v>
      </c>
      <c r="D184">
        <v>2013</v>
      </c>
      <c r="E184" t="s">
        <v>39</v>
      </c>
      <c r="F184" t="s">
        <v>10</v>
      </c>
      <c r="G184">
        <v>346.26360588594298</v>
      </c>
      <c r="H184">
        <v>3108491.5746098701</v>
      </c>
      <c r="I184">
        <v>3108491.5746098701</v>
      </c>
      <c r="J184">
        <v>0</v>
      </c>
      <c r="K184">
        <v>1541648.67666963</v>
      </c>
      <c r="L184">
        <v>0</v>
      </c>
      <c r="M184">
        <v>5.5892598463702301</v>
      </c>
      <c r="N184">
        <v>1.1470275826151299</v>
      </c>
      <c r="O184">
        <v>2.3997826716316499</v>
      </c>
      <c r="P184">
        <v>9.1360701006170206</v>
      </c>
      <c r="Q184">
        <v>2.81969832747869E-2</v>
      </c>
      <c r="R184">
        <v>2.7392097381709199E-4</v>
      </c>
      <c r="S184">
        <v>0</v>
      </c>
      <c r="T184">
        <v>2.8470904248604E-2</v>
      </c>
      <c r="U184">
        <v>1.02795762684055E-2</v>
      </c>
      <c r="V184">
        <v>5.2046047821152297E-2</v>
      </c>
      <c r="W184">
        <v>9.0796528338161903E-2</v>
      </c>
      <c r="X184">
        <v>2.9471925736212601E-2</v>
      </c>
      <c r="Y184">
        <v>2.8630646474678203E-4</v>
      </c>
      <c r="Z184">
        <v>0</v>
      </c>
      <c r="AA184">
        <v>2.9758232200959401E-2</v>
      </c>
      <c r="AB184">
        <v>4.1118305073622199E-2</v>
      </c>
      <c r="AC184">
        <v>0.14870299377471999</v>
      </c>
      <c r="AD184">
        <v>0.219579531049302</v>
      </c>
      <c r="AE184">
        <v>3011.30871937031</v>
      </c>
      <c r="AF184">
        <v>262.01688460537503</v>
      </c>
      <c r="AG184">
        <v>0</v>
      </c>
      <c r="AH184">
        <v>3273.3256039756802</v>
      </c>
      <c r="AI184">
        <v>1.33255812175812E-3</v>
      </c>
      <c r="AJ184">
        <v>9.2041136189762601E-4</v>
      </c>
      <c r="AK184">
        <v>0</v>
      </c>
      <c r="AL184">
        <v>2.2529694836557401E-3</v>
      </c>
      <c r="AM184">
        <v>0.47443291505958601</v>
      </c>
      <c r="AN184">
        <v>4.1280866873109397E-2</v>
      </c>
      <c r="AO184">
        <v>0</v>
      </c>
      <c r="AP184">
        <v>0.51571378193269601</v>
      </c>
      <c r="AQ184">
        <v>2.8689610944976799E-2</v>
      </c>
      <c r="AR184">
        <v>1.9816204224803201E-2</v>
      </c>
      <c r="AS184">
        <v>0</v>
      </c>
      <c r="AT184">
        <v>4.85058151697801E-2</v>
      </c>
      <c r="AU184">
        <v>0</v>
      </c>
      <c r="AV184">
        <v>0</v>
      </c>
      <c r="AW184">
        <v>0</v>
      </c>
      <c r="AX184">
        <v>4.85058151697801E-2</v>
      </c>
      <c r="AY184">
        <v>3.26609381706989E-2</v>
      </c>
      <c r="AZ184">
        <v>2.2559240074935899E-2</v>
      </c>
      <c r="BA184">
        <v>0</v>
      </c>
      <c r="BB184">
        <v>5.5220178245634799E-2</v>
      </c>
      <c r="BC184">
        <v>0</v>
      </c>
      <c r="BD184">
        <v>0</v>
      </c>
      <c r="BE184">
        <v>0</v>
      </c>
      <c r="BF184">
        <v>5.5220178245634799E-2</v>
      </c>
      <c r="BG184">
        <v>0.27608946992175998</v>
      </c>
      <c r="BH184">
        <v>0.83911412623750303</v>
      </c>
      <c r="BI184">
        <v>0</v>
      </c>
      <c r="BJ184">
        <v>1.1152035961592599</v>
      </c>
      <c r="BK184">
        <v>2.85152928425512E-2</v>
      </c>
      <c r="BL184">
        <v>2.4811432139636501E-3</v>
      </c>
      <c r="BM184">
        <v>0</v>
      </c>
      <c r="BN184">
        <v>3.0996436056514799E-2</v>
      </c>
      <c r="BO184">
        <v>0.75383537692330804</v>
      </c>
      <c r="BP184">
        <v>292.40487953913299</v>
      </c>
    </row>
    <row r="185" spans="1:68" x14ac:dyDescent="0.25">
      <c r="A185" t="s">
        <v>37</v>
      </c>
      <c r="B185">
        <v>2029</v>
      </c>
      <c r="C185" t="s">
        <v>319</v>
      </c>
      <c r="D185">
        <v>2014</v>
      </c>
      <c r="E185" t="s">
        <v>39</v>
      </c>
      <c r="F185" t="s">
        <v>10</v>
      </c>
      <c r="G185">
        <v>408.52650170221602</v>
      </c>
      <c r="H185">
        <v>3701079.7257631901</v>
      </c>
      <c r="I185">
        <v>3701079.7257631901</v>
      </c>
      <c r="J185">
        <v>0</v>
      </c>
      <c r="K185">
        <v>1818858.03193867</v>
      </c>
      <c r="L185">
        <v>0</v>
      </c>
      <c r="M185">
        <v>1.14433513306301</v>
      </c>
      <c r="N185">
        <v>1.3532787093890399</v>
      </c>
      <c r="O185">
        <v>2.8312961657605999</v>
      </c>
      <c r="P185">
        <v>5.3289100082126604</v>
      </c>
      <c r="Q185">
        <v>1.57552525902693E-2</v>
      </c>
      <c r="R185">
        <v>3.2317568255563401E-4</v>
      </c>
      <c r="S185">
        <v>0</v>
      </c>
      <c r="T185">
        <v>1.6078428272825001E-2</v>
      </c>
      <c r="U185">
        <v>1.22392261337264E-2</v>
      </c>
      <c r="V185">
        <v>6.18880116895002E-2</v>
      </c>
      <c r="W185">
        <v>9.0205666096051601E-2</v>
      </c>
      <c r="X185">
        <v>1.6467635199503401E-2</v>
      </c>
      <c r="Y185">
        <v>3.3778825284994698E-4</v>
      </c>
      <c r="Z185">
        <v>0</v>
      </c>
      <c r="AA185">
        <v>1.6805423452353301E-2</v>
      </c>
      <c r="AB185">
        <v>4.8956904534905699E-2</v>
      </c>
      <c r="AC185">
        <v>0.176822890541429</v>
      </c>
      <c r="AD185">
        <v>0.242585218528688</v>
      </c>
      <c r="AE185">
        <v>4780.8259883025603</v>
      </c>
      <c r="AF185">
        <v>292.70966558074201</v>
      </c>
      <c r="AG185">
        <v>0</v>
      </c>
      <c r="AH185">
        <v>5073.5356538833003</v>
      </c>
      <c r="AI185">
        <v>1.0168086329871301E-3</v>
      </c>
      <c r="AJ185">
        <v>1.0859138165588099E-3</v>
      </c>
      <c r="AK185">
        <v>0</v>
      </c>
      <c r="AL185">
        <v>2.10272244954595E-3</v>
      </c>
      <c r="AM185">
        <v>0.75322108139656596</v>
      </c>
      <c r="AN185">
        <v>4.6116527015080497E-2</v>
      </c>
      <c r="AO185">
        <v>0</v>
      </c>
      <c r="AP185">
        <v>0.79933760841164603</v>
      </c>
      <c r="AQ185">
        <v>2.1891611037128101E-2</v>
      </c>
      <c r="AR185">
        <v>2.3379426689279E-2</v>
      </c>
      <c r="AS185">
        <v>0</v>
      </c>
      <c r="AT185">
        <v>4.5271037726407101E-2</v>
      </c>
      <c r="AU185">
        <v>0</v>
      </c>
      <c r="AV185">
        <v>0</v>
      </c>
      <c r="AW185">
        <v>0</v>
      </c>
      <c r="AX185">
        <v>4.5271037726407101E-2</v>
      </c>
      <c r="AY185">
        <v>2.49219327481266E-2</v>
      </c>
      <c r="AZ185">
        <v>2.66156976136557E-2</v>
      </c>
      <c r="BA185">
        <v>0</v>
      </c>
      <c r="BB185">
        <v>5.1537630361782397E-2</v>
      </c>
      <c r="BC185">
        <v>0</v>
      </c>
      <c r="BD185">
        <v>0</v>
      </c>
      <c r="BE185">
        <v>0</v>
      </c>
      <c r="BF185">
        <v>5.1537630361782397E-2</v>
      </c>
      <c r="BG185">
        <v>0.16495753171375099</v>
      </c>
      <c r="BH185">
        <v>0.98999823456365899</v>
      </c>
      <c r="BI185">
        <v>0</v>
      </c>
      <c r="BJ185">
        <v>1.1549557662774099</v>
      </c>
      <c r="BK185">
        <v>4.5271563227244897E-2</v>
      </c>
      <c r="BL185">
        <v>2.7717854958509399E-3</v>
      </c>
      <c r="BM185">
        <v>0</v>
      </c>
      <c r="BN185">
        <v>4.8043348723095798E-2</v>
      </c>
      <c r="BO185">
        <v>0.897542992518507</v>
      </c>
      <c r="BP185">
        <v>453.21693017932398</v>
      </c>
    </row>
    <row r="186" spans="1:68" x14ac:dyDescent="0.25">
      <c r="A186" t="s">
        <v>37</v>
      </c>
      <c r="B186">
        <v>2029</v>
      </c>
      <c r="C186" t="s">
        <v>319</v>
      </c>
      <c r="D186">
        <v>2015</v>
      </c>
      <c r="E186" t="s">
        <v>39</v>
      </c>
      <c r="F186" t="s">
        <v>10</v>
      </c>
      <c r="G186">
        <v>510.01956899973601</v>
      </c>
      <c r="H186">
        <v>4676997.0723822499</v>
      </c>
      <c r="I186">
        <v>4676997.0723822499</v>
      </c>
      <c r="J186">
        <v>0</v>
      </c>
      <c r="K186">
        <v>2270729.5258833799</v>
      </c>
      <c r="L186">
        <v>0</v>
      </c>
      <c r="M186">
        <v>1.43212140292945</v>
      </c>
      <c r="N186">
        <v>1.6894831087414499</v>
      </c>
      <c r="O186">
        <v>3.5346946750211701</v>
      </c>
      <c r="P186">
        <v>6.65629918669209</v>
      </c>
      <c r="Q186">
        <v>1.9829402023626101E-2</v>
      </c>
      <c r="R186">
        <v>4.0346445491648401E-4</v>
      </c>
      <c r="S186">
        <v>0</v>
      </c>
      <c r="T186">
        <v>2.02328664785426E-2</v>
      </c>
      <c r="U186">
        <v>1.54665203230281E-2</v>
      </c>
      <c r="V186">
        <v>7.8163987444200805E-2</v>
      </c>
      <c r="W186">
        <v>0.113863374245771</v>
      </c>
      <c r="X186">
        <v>2.0725999591466201E-2</v>
      </c>
      <c r="Y186">
        <v>4.2170732722080498E-4</v>
      </c>
      <c r="Z186">
        <v>0</v>
      </c>
      <c r="AA186">
        <v>2.1147706918687E-2</v>
      </c>
      <c r="AB186">
        <v>6.1866081292112601E-2</v>
      </c>
      <c r="AC186">
        <v>0.22332567841200199</v>
      </c>
      <c r="AD186">
        <v>0.30633946662280198</v>
      </c>
      <c r="AE186">
        <v>6041.0937315828596</v>
      </c>
      <c r="AF186">
        <v>365.42955440959099</v>
      </c>
      <c r="AG186">
        <v>0</v>
      </c>
      <c r="AH186">
        <v>6406.5232859924499</v>
      </c>
      <c r="AI186">
        <v>1.2714432533735499E-3</v>
      </c>
      <c r="AJ186">
        <v>1.3556949044542001E-3</v>
      </c>
      <c r="AK186">
        <v>0</v>
      </c>
      <c r="AL186">
        <v>2.6271381578277498E-3</v>
      </c>
      <c r="AM186">
        <v>0.95177677758073798</v>
      </c>
      <c r="AN186">
        <v>5.7573575114451103E-2</v>
      </c>
      <c r="AO186">
        <v>0</v>
      </c>
      <c r="AP186">
        <v>1.0093503526951799</v>
      </c>
      <c r="AQ186">
        <v>2.7373824587685801E-2</v>
      </c>
      <c r="AR186">
        <v>2.91877395318134E-2</v>
      </c>
      <c r="AS186">
        <v>0</v>
      </c>
      <c r="AT186">
        <v>5.6561564119499197E-2</v>
      </c>
      <c r="AU186">
        <v>0</v>
      </c>
      <c r="AV186">
        <v>0</v>
      </c>
      <c r="AW186">
        <v>0</v>
      </c>
      <c r="AX186">
        <v>5.6561564119499197E-2</v>
      </c>
      <c r="AY186">
        <v>3.11630155622762E-2</v>
      </c>
      <c r="AZ186">
        <v>3.3228019648622403E-2</v>
      </c>
      <c r="BA186">
        <v>0</v>
      </c>
      <c r="BB186">
        <v>6.4391035210898701E-2</v>
      </c>
      <c r="BC186">
        <v>0</v>
      </c>
      <c r="BD186">
        <v>0</v>
      </c>
      <c r="BE186">
        <v>0</v>
      </c>
      <c r="BF186">
        <v>6.4391035210898701E-2</v>
      </c>
      <c r="BG186">
        <v>0.205720000091169</v>
      </c>
      <c r="BH186">
        <v>1.2359503503415601</v>
      </c>
      <c r="BI186">
        <v>0</v>
      </c>
      <c r="BJ186">
        <v>1.44167035043272</v>
      </c>
      <c r="BK186">
        <v>5.7205545129696098E-2</v>
      </c>
      <c r="BL186">
        <v>3.4603993573569798E-3</v>
      </c>
      <c r="BM186">
        <v>0</v>
      </c>
      <c r="BN186">
        <v>6.0665944487053099E-2</v>
      </c>
      <c r="BO186">
        <v>1.13421116522439</v>
      </c>
      <c r="BP186">
        <v>572.29218731861499</v>
      </c>
    </row>
    <row r="187" spans="1:68" x14ac:dyDescent="0.25">
      <c r="A187" t="s">
        <v>37</v>
      </c>
      <c r="B187">
        <v>2029</v>
      </c>
      <c r="C187" t="s">
        <v>319</v>
      </c>
      <c r="D187">
        <v>2016</v>
      </c>
      <c r="E187" t="s">
        <v>39</v>
      </c>
      <c r="F187" t="s">
        <v>10</v>
      </c>
      <c r="G187">
        <v>807.02927039569204</v>
      </c>
      <c r="H187">
        <v>7512705.9610610101</v>
      </c>
      <c r="I187">
        <v>7512705.9610610101</v>
      </c>
      <c r="J187">
        <v>0</v>
      </c>
      <c r="K187">
        <v>3593087.9988265098</v>
      </c>
      <c r="L187">
        <v>0</v>
      </c>
      <c r="M187">
        <v>2.2815453259432101</v>
      </c>
      <c r="N187">
        <v>2.67335295245153</v>
      </c>
      <c r="O187">
        <v>6.4868148730128503</v>
      </c>
      <c r="P187">
        <v>11.441713151407599</v>
      </c>
      <c r="Q187">
        <v>3.1582273724536501E-2</v>
      </c>
      <c r="R187">
        <v>6.3842182628491301E-4</v>
      </c>
      <c r="S187">
        <v>0</v>
      </c>
      <c r="T187">
        <v>3.22206955508215E-2</v>
      </c>
      <c r="U187">
        <v>2.4844022271004702E-2</v>
      </c>
      <c r="V187">
        <v>0.12554189924008699</v>
      </c>
      <c r="W187">
        <v>0.182606617061913</v>
      </c>
      <c r="X187">
        <v>3.3010283998096003E-2</v>
      </c>
      <c r="Y187">
        <v>6.6728842831462003E-4</v>
      </c>
      <c r="Z187">
        <v>0</v>
      </c>
      <c r="AA187">
        <v>3.3677572426410597E-2</v>
      </c>
      <c r="AB187">
        <v>9.9376089084018807E-2</v>
      </c>
      <c r="AC187">
        <v>0.35869114068596297</v>
      </c>
      <c r="AD187">
        <v>0.49174480219639199</v>
      </c>
      <c r="AE187">
        <v>9705.3352844754809</v>
      </c>
      <c r="AF187">
        <v>578.23731598101995</v>
      </c>
      <c r="AG187">
        <v>0</v>
      </c>
      <c r="AH187">
        <v>10283.5726004565</v>
      </c>
      <c r="AI187">
        <v>2.0170059754625901E-3</v>
      </c>
      <c r="AJ187">
        <v>2.14518331476303E-3</v>
      </c>
      <c r="AK187">
        <v>0</v>
      </c>
      <c r="AL187">
        <v>4.1621892902256197E-3</v>
      </c>
      <c r="AM187">
        <v>1.52907952646157</v>
      </c>
      <c r="AN187">
        <v>9.1101524613681095E-2</v>
      </c>
      <c r="AO187">
        <v>0</v>
      </c>
      <c r="AP187">
        <v>1.6201810510752499</v>
      </c>
      <c r="AQ187">
        <v>4.3425585544717399E-2</v>
      </c>
      <c r="AR187">
        <v>4.6185208510836198E-2</v>
      </c>
      <c r="AS187">
        <v>0</v>
      </c>
      <c r="AT187">
        <v>8.9610794055553694E-2</v>
      </c>
      <c r="AU187">
        <v>0</v>
      </c>
      <c r="AV187">
        <v>0</v>
      </c>
      <c r="AW187">
        <v>0</v>
      </c>
      <c r="AX187">
        <v>8.9610794055553694E-2</v>
      </c>
      <c r="AY187">
        <v>4.9436723531126901E-2</v>
      </c>
      <c r="AZ187">
        <v>5.2578344211996697E-2</v>
      </c>
      <c r="BA187">
        <v>0</v>
      </c>
      <c r="BB187">
        <v>0.10201506774312299</v>
      </c>
      <c r="BC187">
        <v>0</v>
      </c>
      <c r="BD187">
        <v>0</v>
      </c>
      <c r="BE187">
        <v>0</v>
      </c>
      <c r="BF187">
        <v>0.10201506774312299</v>
      </c>
      <c r="BG187">
        <v>0.32604685185552401</v>
      </c>
      <c r="BH187">
        <v>1.9557055652544799</v>
      </c>
      <c r="BI187">
        <v>0</v>
      </c>
      <c r="BJ187">
        <v>2.2817524171100101</v>
      </c>
      <c r="BK187">
        <v>9.1903721458965595E-2</v>
      </c>
      <c r="BL187">
        <v>5.4755616027098997E-3</v>
      </c>
      <c r="BM187">
        <v>0</v>
      </c>
      <c r="BN187">
        <v>9.7379283061675495E-2</v>
      </c>
      <c r="BO187">
        <v>1.82189444427919</v>
      </c>
      <c r="BP187">
        <v>918.62746676231598</v>
      </c>
    </row>
    <row r="188" spans="1:68" x14ac:dyDescent="0.25">
      <c r="A188" t="s">
        <v>37</v>
      </c>
      <c r="B188">
        <v>2029</v>
      </c>
      <c r="C188" t="s">
        <v>319</v>
      </c>
      <c r="D188">
        <v>2017</v>
      </c>
      <c r="E188" t="s">
        <v>39</v>
      </c>
      <c r="F188" t="s">
        <v>10</v>
      </c>
      <c r="G188">
        <v>762.59303668898099</v>
      </c>
      <c r="H188">
        <v>7227063.3537333896</v>
      </c>
      <c r="I188">
        <v>7227063.3537333896</v>
      </c>
      <c r="J188">
        <v>0</v>
      </c>
      <c r="K188">
        <v>3395247.22166814</v>
      </c>
      <c r="L188">
        <v>0</v>
      </c>
      <c r="M188">
        <v>2.17705800139399</v>
      </c>
      <c r="N188">
        <v>2.5261541569016699</v>
      </c>
      <c r="O188">
        <v>6.1296411839244804</v>
      </c>
      <c r="P188">
        <v>10.832853342220099</v>
      </c>
      <c r="Q188">
        <v>2.9893753637231301E-2</v>
      </c>
      <c r="R188">
        <v>6.0326936959351305E-4</v>
      </c>
      <c r="S188">
        <v>0</v>
      </c>
      <c r="T188">
        <v>3.0497023006824799E-2</v>
      </c>
      <c r="U188">
        <v>2.38994210401322E-2</v>
      </c>
      <c r="V188">
        <v>0.12082379410349001</v>
      </c>
      <c r="W188">
        <v>0.17522023815044699</v>
      </c>
      <c r="X188">
        <v>3.1245416525139801E-2</v>
      </c>
      <c r="Y188">
        <v>6.3054653351835098E-4</v>
      </c>
      <c r="Z188">
        <v>0</v>
      </c>
      <c r="AA188">
        <v>3.1875963058658099E-2</v>
      </c>
      <c r="AB188">
        <v>9.5597684160528995E-2</v>
      </c>
      <c r="AC188">
        <v>0.34521084029568699</v>
      </c>
      <c r="AD188">
        <v>0.47268448751487402</v>
      </c>
      <c r="AE188">
        <v>8983.0812459548306</v>
      </c>
      <c r="AF188">
        <v>525.74090832298702</v>
      </c>
      <c r="AG188">
        <v>0</v>
      </c>
      <c r="AH188">
        <v>9508.8221542778192</v>
      </c>
      <c r="AI188">
        <v>1.9102458409099401E-3</v>
      </c>
      <c r="AJ188">
        <v>2.0270663261786298E-3</v>
      </c>
      <c r="AK188">
        <v>0</v>
      </c>
      <c r="AL188">
        <v>3.9373121670885696E-3</v>
      </c>
      <c r="AM188">
        <v>1.41528810856252</v>
      </c>
      <c r="AN188">
        <v>8.2830694208565606E-2</v>
      </c>
      <c r="AO188">
        <v>0</v>
      </c>
      <c r="AP188">
        <v>1.4981188027710901</v>
      </c>
      <c r="AQ188">
        <v>4.1127069123754197E-2</v>
      </c>
      <c r="AR188">
        <v>4.3642182136866499E-2</v>
      </c>
      <c r="AS188">
        <v>0</v>
      </c>
      <c r="AT188">
        <v>8.4769251260620695E-2</v>
      </c>
      <c r="AU188">
        <v>0</v>
      </c>
      <c r="AV188">
        <v>0</v>
      </c>
      <c r="AW188">
        <v>0</v>
      </c>
      <c r="AX188">
        <v>8.4769251260620695E-2</v>
      </c>
      <c r="AY188">
        <v>4.6820037551892298E-2</v>
      </c>
      <c r="AZ188">
        <v>4.9683302263676898E-2</v>
      </c>
      <c r="BA188">
        <v>0</v>
      </c>
      <c r="BB188">
        <v>9.65033398155693E-2</v>
      </c>
      <c r="BC188">
        <v>0</v>
      </c>
      <c r="BD188">
        <v>0</v>
      </c>
      <c r="BE188">
        <v>0</v>
      </c>
      <c r="BF188">
        <v>9.65033398155693E-2</v>
      </c>
      <c r="BG188">
        <v>0.30951096217305901</v>
      </c>
      <c r="BH188">
        <v>1.8480215037871699</v>
      </c>
      <c r="BI188">
        <v>0</v>
      </c>
      <c r="BJ188">
        <v>2.1575324659602302</v>
      </c>
      <c r="BK188">
        <v>8.5064407614240306E-2</v>
      </c>
      <c r="BL188">
        <v>4.9784520144695501E-3</v>
      </c>
      <c r="BM188">
        <v>0</v>
      </c>
      <c r="BN188">
        <v>9.0042859628709795E-2</v>
      </c>
      <c r="BO188">
        <v>1.7526237072056301</v>
      </c>
      <c r="BP188">
        <v>849.41931630743397</v>
      </c>
    </row>
    <row r="189" spans="1:68" x14ac:dyDescent="0.25">
      <c r="A189" t="s">
        <v>106</v>
      </c>
      <c r="AE189" s="73">
        <f>SUM(AE182:AE188)*453.6*2000/SUM($H$182:$H$188)</f>
        <v>1106.5134223773964</v>
      </c>
      <c r="AI189" s="74">
        <f>SUM(AI182:AI188)*453.6*2000/SUM($H$182:$H$188)</f>
        <v>3.2735046702611631E-4</v>
      </c>
      <c r="AM189" s="74">
        <f>SUM(AM182:AM188)*453.6*2000/SUM($H$182:$H$188)</f>
        <v>0.17433164031114073</v>
      </c>
    </row>
    <row r="190" spans="1:68" x14ac:dyDescent="0.25">
      <c r="A190" t="s">
        <v>283</v>
      </c>
      <c r="AF190" s="73">
        <f>SUM(AF182:AF188)*453.6*2000/SUM($G$182:$G$188)/312</f>
        <v>2094.7660201834829</v>
      </c>
      <c r="AJ190" s="74">
        <f>SUM(AJ182:AJ188)*453.6*2000/SUM($G$182:$G$188)/312</f>
        <v>7.7510539730874873E-3</v>
      </c>
      <c r="AN190" s="74">
        <f>SUM(AN182:AN188)*453.6*2000/SUM($G$182:$G$188)/312</f>
        <v>0.33003123955063501</v>
      </c>
    </row>
    <row r="191" spans="1:68" x14ac:dyDescent="0.25">
      <c r="A191" t="s">
        <v>320</v>
      </c>
      <c r="H191">
        <f>SUM(H182:H188)/SUM(G182:G188)</f>
        <v>9211.7727866937312</v>
      </c>
      <c r="AF191" s="73"/>
      <c r="AJ191" s="74"/>
      <c r="AN191" s="74"/>
      <c r="BP191" s="74">
        <f>SUM(H182:H188)/(SUM(BP182:BP188)*1000)</f>
        <v>8.625028528523826</v>
      </c>
    </row>
    <row r="193" spans="1:68" x14ac:dyDescent="0.25">
      <c r="A193" t="s">
        <v>37</v>
      </c>
      <c r="B193">
        <v>2030</v>
      </c>
      <c r="C193" t="s">
        <v>318</v>
      </c>
      <c r="D193">
        <v>2011</v>
      </c>
      <c r="E193" t="s">
        <v>39</v>
      </c>
      <c r="F193" t="s">
        <v>10</v>
      </c>
      <c r="G193">
        <v>66.562530409004495</v>
      </c>
      <c r="H193">
        <v>594341.74872363894</v>
      </c>
      <c r="I193">
        <v>594341.74872363894</v>
      </c>
      <c r="J193">
        <v>0</v>
      </c>
      <c r="K193">
        <v>296352.360388186</v>
      </c>
      <c r="L193">
        <v>0</v>
      </c>
      <c r="M193">
        <v>1.4011194271382501</v>
      </c>
      <c r="N193">
        <v>0.25589986065019099</v>
      </c>
      <c r="O193">
        <v>0.52201235282164105</v>
      </c>
      <c r="P193">
        <v>2.17903164061009</v>
      </c>
      <c r="Q193">
        <v>1.14721204270102E-2</v>
      </c>
      <c r="R193">
        <v>5.2656048280654897E-5</v>
      </c>
      <c r="S193">
        <v>0</v>
      </c>
      <c r="T193">
        <v>1.1524776475290901E-2</v>
      </c>
      <c r="U193">
        <v>1.9654488966304499E-3</v>
      </c>
      <c r="V193">
        <v>9.9349158835786103E-3</v>
      </c>
      <c r="W193">
        <v>2.34251412555E-2</v>
      </c>
      <c r="X193">
        <v>1.1990838805939199E-2</v>
      </c>
      <c r="Y193">
        <v>5.5036921126152499E-5</v>
      </c>
      <c r="Z193">
        <v>0</v>
      </c>
      <c r="AA193">
        <v>1.20458757270654E-2</v>
      </c>
      <c r="AB193">
        <v>7.8617955865218307E-3</v>
      </c>
      <c r="AC193">
        <v>2.8385473953081702E-2</v>
      </c>
      <c r="AD193">
        <v>4.8293145266668898E-2</v>
      </c>
      <c r="AE193">
        <v>641.05271790707195</v>
      </c>
      <c r="AF193">
        <v>52.369377118309998</v>
      </c>
      <c r="AG193">
        <v>0</v>
      </c>
      <c r="AH193">
        <v>693.42209502538196</v>
      </c>
      <c r="AI193">
        <v>1.27752782092969E-3</v>
      </c>
      <c r="AJ193">
        <v>1.9221422273453799E-4</v>
      </c>
      <c r="AK193">
        <v>0</v>
      </c>
      <c r="AL193">
        <v>1.46974204366423E-3</v>
      </c>
      <c r="AM193">
        <v>0.10099811676802101</v>
      </c>
      <c r="AN193">
        <v>8.2508166918502102E-3</v>
      </c>
      <c r="AO193">
        <v>0</v>
      </c>
      <c r="AP193">
        <v>0.10924893345987099</v>
      </c>
      <c r="AQ193">
        <v>2.7504823658648401E-2</v>
      </c>
      <c r="AR193">
        <v>4.13831950614609E-3</v>
      </c>
      <c r="AS193">
        <v>0</v>
      </c>
      <c r="AT193">
        <v>3.1643143164794503E-2</v>
      </c>
      <c r="AU193">
        <v>0</v>
      </c>
      <c r="AV193">
        <v>0</v>
      </c>
      <c r="AW193">
        <v>0</v>
      </c>
      <c r="AX193">
        <v>3.1643143164794503E-2</v>
      </c>
      <c r="AY193">
        <v>3.13121480327491E-2</v>
      </c>
      <c r="AZ193">
        <v>4.7111617435334902E-3</v>
      </c>
      <c r="BA193">
        <v>0</v>
      </c>
      <c r="BB193">
        <v>3.6023309776282597E-2</v>
      </c>
      <c r="BC193">
        <v>0</v>
      </c>
      <c r="BD193">
        <v>0</v>
      </c>
      <c r="BE193">
        <v>0</v>
      </c>
      <c r="BF193">
        <v>3.6023309776282597E-2</v>
      </c>
      <c r="BG193">
        <v>8.1877723607203606E-2</v>
      </c>
      <c r="BH193">
        <v>0.139708271090215</v>
      </c>
      <c r="BI193">
        <v>0</v>
      </c>
      <c r="BJ193">
        <v>0.22158599469741899</v>
      </c>
      <c r="BK193">
        <v>6.0703858960219799E-3</v>
      </c>
      <c r="BL193">
        <v>4.9590668499205804E-4</v>
      </c>
      <c r="BM193">
        <v>0</v>
      </c>
      <c r="BN193">
        <v>6.5662925810140403E-3</v>
      </c>
      <c r="BO193">
        <v>0.14413287776936401</v>
      </c>
      <c r="BP193">
        <v>61.9431210629959</v>
      </c>
    </row>
    <row r="194" spans="1:68" x14ac:dyDescent="0.25">
      <c r="A194" t="s">
        <v>37</v>
      </c>
      <c r="B194">
        <v>2030</v>
      </c>
      <c r="C194" t="s">
        <v>318</v>
      </c>
      <c r="D194">
        <v>2012</v>
      </c>
      <c r="E194" t="s">
        <v>39</v>
      </c>
      <c r="F194" t="s">
        <v>10</v>
      </c>
      <c r="G194">
        <v>401.03505694625198</v>
      </c>
      <c r="H194">
        <v>3580518.7210317198</v>
      </c>
      <c r="I194">
        <v>3580518.7210317198</v>
      </c>
      <c r="J194">
        <v>0</v>
      </c>
      <c r="K194">
        <v>1785504.3219383799</v>
      </c>
      <c r="L194">
        <v>0</v>
      </c>
      <c r="M194">
        <v>6.7546125019704002</v>
      </c>
      <c r="N194">
        <v>1.3284626628202401</v>
      </c>
      <c r="O194">
        <v>3.8634889758732802</v>
      </c>
      <c r="P194">
        <v>11.9465641406639</v>
      </c>
      <c r="Q194">
        <v>3.380693373417E-2</v>
      </c>
      <c r="R194">
        <v>3.1724937725535702E-4</v>
      </c>
      <c r="S194">
        <v>0</v>
      </c>
      <c r="T194">
        <v>3.4124183111425302E-2</v>
      </c>
      <c r="U194">
        <v>1.18405388561874E-2</v>
      </c>
      <c r="V194">
        <v>5.9940368772412503E-2</v>
      </c>
      <c r="W194">
        <v>0.10590509074002501</v>
      </c>
      <c r="X194">
        <v>3.5335533261582501E-2</v>
      </c>
      <c r="Y194">
        <v>3.3159398632158201E-4</v>
      </c>
      <c r="Z194">
        <v>0</v>
      </c>
      <c r="AA194">
        <v>3.56671272479041E-2</v>
      </c>
      <c r="AB194">
        <v>4.7362155424749697E-2</v>
      </c>
      <c r="AC194">
        <v>0.17125819649260701</v>
      </c>
      <c r="AD194">
        <v>0.25428747916526101</v>
      </c>
      <c r="AE194">
        <v>3819.6443965045</v>
      </c>
      <c r="AF194">
        <v>303.46231729940399</v>
      </c>
      <c r="AG194">
        <v>0</v>
      </c>
      <c r="AH194">
        <v>4123.1067138038998</v>
      </c>
      <c r="AI194">
        <v>1.5659915025502001E-3</v>
      </c>
      <c r="AJ194">
        <v>1.0660006326341199E-3</v>
      </c>
      <c r="AK194">
        <v>0</v>
      </c>
      <c r="AL194">
        <v>2.63199213518433E-3</v>
      </c>
      <c r="AM194">
        <v>0.60178653017800998</v>
      </c>
      <c r="AN194">
        <v>4.7810611672256302E-2</v>
      </c>
      <c r="AO194">
        <v>0</v>
      </c>
      <c r="AP194">
        <v>0.64959714185026596</v>
      </c>
      <c r="AQ194">
        <v>3.3715367620910403E-2</v>
      </c>
      <c r="AR194">
        <v>2.29507013000095E-2</v>
      </c>
      <c r="AS194">
        <v>0</v>
      </c>
      <c r="AT194">
        <v>5.666606892092E-2</v>
      </c>
      <c r="AU194">
        <v>0</v>
      </c>
      <c r="AV194">
        <v>0</v>
      </c>
      <c r="AW194">
        <v>0</v>
      </c>
      <c r="AX194">
        <v>5.666606892092E-2</v>
      </c>
      <c r="AY194">
        <v>3.8382379579174501E-2</v>
      </c>
      <c r="AZ194">
        <v>2.61276263931015E-2</v>
      </c>
      <c r="BA194">
        <v>0</v>
      </c>
      <c r="BB194">
        <v>6.4510005972276005E-2</v>
      </c>
      <c r="BC194">
        <v>0</v>
      </c>
      <c r="BD194">
        <v>0</v>
      </c>
      <c r="BE194">
        <v>0</v>
      </c>
      <c r="BF194">
        <v>6.4510005972276005E-2</v>
      </c>
      <c r="BG194">
        <v>0.32427856416010298</v>
      </c>
      <c r="BH194">
        <v>0.97184392376167195</v>
      </c>
      <c r="BI194">
        <v>0</v>
      </c>
      <c r="BJ194">
        <v>1.2961224879217701</v>
      </c>
      <c r="BK194">
        <v>3.6169748329062501E-2</v>
      </c>
      <c r="BL194">
        <v>2.8736066776578E-3</v>
      </c>
      <c r="BM194">
        <v>0</v>
      </c>
      <c r="BN194">
        <v>3.90433550067203E-2</v>
      </c>
      <c r="BO194">
        <v>0.86830593388005695</v>
      </c>
      <c r="BP194">
        <v>368.315489455896</v>
      </c>
    </row>
    <row r="195" spans="1:68" x14ac:dyDescent="0.25">
      <c r="A195" t="s">
        <v>37</v>
      </c>
      <c r="B195">
        <v>2030</v>
      </c>
      <c r="C195" t="s">
        <v>318</v>
      </c>
      <c r="D195">
        <v>2013</v>
      </c>
      <c r="E195" t="s">
        <v>39</v>
      </c>
      <c r="F195" t="s">
        <v>10</v>
      </c>
      <c r="G195">
        <v>388.567333164194</v>
      </c>
      <c r="H195">
        <v>3469257.10270007</v>
      </c>
      <c r="I195">
        <v>3469257.10270007</v>
      </c>
      <c r="J195">
        <v>0</v>
      </c>
      <c r="K195">
        <v>1729995.0234069501</v>
      </c>
      <c r="L195">
        <v>0</v>
      </c>
      <c r="M195">
        <v>6.2726246565406303</v>
      </c>
      <c r="N195">
        <v>1.28716226963036</v>
      </c>
      <c r="O195">
        <v>2.6929689896336599</v>
      </c>
      <c r="P195">
        <v>10.252755915804601</v>
      </c>
      <c r="Q195">
        <v>3.1951975188998998E-2</v>
      </c>
      <c r="R195">
        <v>3.0738645495682898E-4</v>
      </c>
      <c r="S195">
        <v>0</v>
      </c>
      <c r="T195">
        <v>3.2259361643955903E-2</v>
      </c>
      <c r="U195">
        <v>1.14726040350904E-2</v>
      </c>
      <c r="V195">
        <v>5.8041448288306499E-2</v>
      </c>
      <c r="W195">
        <v>0.101773413967352</v>
      </c>
      <c r="X195">
        <v>3.3396701722255603E-2</v>
      </c>
      <c r="Y195">
        <v>3.2128510644278399E-4</v>
      </c>
      <c r="Z195">
        <v>0</v>
      </c>
      <c r="AA195">
        <v>3.3717986828698303E-2</v>
      </c>
      <c r="AB195">
        <v>4.5890416140361601E-2</v>
      </c>
      <c r="AC195">
        <v>0.16583270939516101</v>
      </c>
      <c r="AD195">
        <v>0.245441112364221</v>
      </c>
      <c r="AE195">
        <v>3357.6964555197001</v>
      </c>
      <c r="AF195">
        <v>294.02801901346498</v>
      </c>
      <c r="AG195">
        <v>0</v>
      </c>
      <c r="AH195">
        <v>3651.72447453316</v>
      </c>
      <c r="AI195">
        <v>1.4932636567054701E-3</v>
      </c>
      <c r="AJ195">
        <v>1.0328598854376699E-3</v>
      </c>
      <c r="AK195">
        <v>0</v>
      </c>
      <c r="AL195">
        <v>2.5261235421431402E-3</v>
      </c>
      <c r="AM195">
        <v>0.52900644395256902</v>
      </c>
      <c r="AN195">
        <v>4.6324234135290999E-2</v>
      </c>
      <c r="AO195">
        <v>0</v>
      </c>
      <c r="AP195">
        <v>0.57533067808785998</v>
      </c>
      <c r="AQ195">
        <v>3.2149557043433599E-2</v>
      </c>
      <c r="AR195">
        <v>2.2237190100784902E-2</v>
      </c>
      <c r="AS195">
        <v>0</v>
      </c>
      <c r="AT195">
        <v>5.4386747144218602E-2</v>
      </c>
      <c r="AU195">
        <v>0</v>
      </c>
      <c r="AV195">
        <v>0</v>
      </c>
      <c r="AW195">
        <v>0</v>
      </c>
      <c r="AX195">
        <v>5.4386747144218602E-2</v>
      </c>
      <c r="AY195">
        <v>3.65998234282362E-2</v>
      </c>
      <c r="AZ195">
        <v>2.53153482061763E-2</v>
      </c>
      <c r="BA195">
        <v>0</v>
      </c>
      <c r="BB195">
        <v>6.19151716344125E-2</v>
      </c>
      <c r="BC195">
        <v>0</v>
      </c>
      <c r="BD195">
        <v>0</v>
      </c>
      <c r="BE195">
        <v>0</v>
      </c>
      <c r="BF195">
        <v>6.19151716344125E-2</v>
      </c>
      <c r="BG195">
        <v>0.30811424608056698</v>
      </c>
      <c r="BH195">
        <v>0.94163040154995503</v>
      </c>
      <c r="BI195">
        <v>0</v>
      </c>
      <c r="BJ195">
        <v>1.2497446476305201</v>
      </c>
      <c r="BK195">
        <v>3.1795377567784402E-2</v>
      </c>
      <c r="BL195">
        <v>2.7842695144978001E-3</v>
      </c>
      <c r="BM195">
        <v>0</v>
      </c>
      <c r="BN195">
        <v>3.45796470822822E-2</v>
      </c>
      <c r="BO195">
        <v>0.84132405473416805</v>
      </c>
      <c r="BP195">
        <v>326.207100750709</v>
      </c>
    </row>
    <row r="196" spans="1:68" x14ac:dyDescent="0.25">
      <c r="A196" t="s">
        <v>37</v>
      </c>
      <c r="B196">
        <v>2030</v>
      </c>
      <c r="C196" t="s">
        <v>318</v>
      </c>
      <c r="D196">
        <v>2014</v>
      </c>
      <c r="E196" t="s">
        <v>39</v>
      </c>
      <c r="F196" t="s">
        <v>10</v>
      </c>
      <c r="G196">
        <v>349.46309591339599</v>
      </c>
      <c r="H196">
        <v>3139068.1462203101</v>
      </c>
      <c r="I196">
        <v>3139068.1462203101</v>
      </c>
      <c r="J196">
        <v>0</v>
      </c>
      <c r="K196">
        <v>1555893.5741494601</v>
      </c>
      <c r="L196">
        <v>0</v>
      </c>
      <c r="M196">
        <v>0.97117215236305399</v>
      </c>
      <c r="N196">
        <v>1.1576261648785</v>
      </c>
      <c r="O196">
        <v>2.4219567626866501</v>
      </c>
      <c r="P196">
        <v>4.5507550799282104</v>
      </c>
      <c r="Q196">
        <v>1.3501292652173799E-2</v>
      </c>
      <c r="R196">
        <v>2.7645201493472902E-4</v>
      </c>
      <c r="S196">
        <v>0</v>
      </c>
      <c r="T196">
        <v>1.37777446671085E-2</v>
      </c>
      <c r="U196">
        <v>1.0380690970617799E-2</v>
      </c>
      <c r="V196">
        <v>5.2454765947620198E-2</v>
      </c>
      <c r="W196">
        <v>7.6613201585346596E-2</v>
      </c>
      <c r="X196">
        <v>1.41117611948063E-2</v>
      </c>
      <c r="Y196">
        <v>2.8895194831243001E-4</v>
      </c>
      <c r="Z196">
        <v>0</v>
      </c>
      <c r="AA196">
        <v>1.44007131431187E-2</v>
      </c>
      <c r="AB196">
        <v>4.1522763882471302E-2</v>
      </c>
      <c r="AC196">
        <v>0.14987075985034301</v>
      </c>
      <c r="AD196">
        <v>0.20579423687593301</v>
      </c>
      <c r="AE196">
        <v>4053.2095110692198</v>
      </c>
      <c r="AF196">
        <v>250.39067358273999</v>
      </c>
      <c r="AG196">
        <v>0</v>
      </c>
      <c r="AH196">
        <v>4303.6001846519603</v>
      </c>
      <c r="AI196">
        <v>8.6918495462546695E-4</v>
      </c>
      <c r="AJ196">
        <v>9.2891600091683096E-4</v>
      </c>
      <c r="AK196">
        <v>0</v>
      </c>
      <c r="AL196">
        <v>1.79810095554229E-3</v>
      </c>
      <c r="AM196">
        <v>0.63858480909453896</v>
      </c>
      <c r="AN196">
        <v>3.9449152591845102E-2</v>
      </c>
      <c r="AO196">
        <v>0</v>
      </c>
      <c r="AP196">
        <v>0.67803396168638397</v>
      </c>
      <c r="AQ196">
        <v>1.87133137236308E-2</v>
      </c>
      <c r="AR196">
        <v>1.9999306770729398E-2</v>
      </c>
      <c r="AS196">
        <v>0</v>
      </c>
      <c r="AT196">
        <v>3.8712620494360299E-2</v>
      </c>
      <c r="AU196">
        <v>0</v>
      </c>
      <c r="AV196">
        <v>0</v>
      </c>
      <c r="AW196">
        <v>0</v>
      </c>
      <c r="AX196">
        <v>3.8712620494360299E-2</v>
      </c>
      <c r="AY196">
        <v>2.13036831927974E-2</v>
      </c>
      <c r="AZ196">
        <v>2.2767688385471101E-2</v>
      </c>
      <c r="BA196">
        <v>0</v>
      </c>
      <c r="BB196">
        <v>4.4071371578268501E-2</v>
      </c>
      <c r="BC196">
        <v>0</v>
      </c>
      <c r="BD196">
        <v>0</v>
      </c>
      <c r="BE196">
        <v>0</v>
      </c>
      <c r="BF196">
        <v>4.4071371578268501E-2</v>
      </c>
      <c r="BG196">
        <v>0.14068808665362301</v>
      </c>
      <c r="BH196">
        <v>0.84686757543966495</v>
      </c>
      <c r="BI196">
        <v>0</v>
      </c>
      <c r="BJ196">
        <v>0.98755566209328804</v>
      </c>
      <c r="BK196">
        <v>3.8381470294590402E-2</v>
      </c>
      <c r="BL196">
        <v>2.3710499479271301E-3</v>
      </c>
      <c r="BM196">
        <v>0</v>
      </c>
      <c r="BN196">
        <v>4.07525202425175E-2</v>
      </c>
      <c r="BO196">
        <v>0.76125045295994598</v>
      </c>
      <c r="BP196">
        <v>384.43889970778901</v>
      </c>
    </row>
    <row r="197" spans="1:68" x14ac:dyDescent="0.25">
      <c r="A197" t="s">
        <v>37</v>
      </c>
      <c r="B197">
        <v>2030</v>
      </c>
      <c r="C197" t="s">
        <v>318</v>
      </c>
      <c r="D197">
        <v>2015</v>
      </c>
      <c r="E197" t="s">
        <v>39</v>
      </c>
      <c r="F197" t="s">
        <v>10</v>
      </c>
      <c r="G197">
        <v>650.75541799535699</v>
      </c>
      <c r="H197">
        <v>5899147.9345909404</v>
      </c>
      <c r="I197">
        <v>5899147.9345909404</v>
      </c>
      <c r="J197">
        <v>0</v>
      </c>
      <c r="K197">
        <v>2897319.3022156502</v>
      </c>
      <c r="L197">
        <v>0</v>
      </c>
      <c r="M197">
        <v>1.80663195346415</v>
      </c>
      <c r="N197">
        <v>2.1556825530858199</v>
      </c>
      <c r="O197">
        <v>4.51006559462121</v>
      </c>
      <c r="P197">
        <v>8.4723801011711899</v>
      </c>
      <c r="Q197">
        <v>2.5319908776929301E-2</v>
      </c>
      <c r="R197">
        <v>5.1479726654481996E-4</v>
      </c>
      <c r="S197">
        <v>0</v>
      </c>
      <c r="T197">
        <v>2.5834706043474098E-2</v>
      </c>
      <c r="U197">
        <v>1.95080924804646E-2</v>
      </c>
      <c r="V197">
        <v>9.8502560920057006E-2</v>
      </c>
      <c r="W197">
        <v>0.14384535944399501</v>
      </c>
      <c r="X197">
        <v>2.6464762696390899E-2</v>
      </c>
      <c r="Y197">
        <v>5.3807411455893996E-4</v>
      </c>
      <c r="Z197">
        <v>0</v>
      </c>
      <c r="AA197">
        <v>2.7002836810949799E-2</v>
      </c>
      <c r="AB197">
        <v>7.8032369921858497E-2</v>
      </c>
      <c r="AC197">
        <v>0.28143588834302002</v>
      </c>
      <c r="AD197">
        <v>0.386471095075828</v>
      </c>
      <c r="AE197">
        <v>7614.78336319546</v>
      </c>
      <c r="AF197">
        <v>466.26693735310499</v>
      </c>
      <c r="AG197">
        <v>0</v>
      </c>
      <c r="AH197">
        <v>8081.0503005485598</v>
      </c>
      <c r="AI197">
        <v>1.61888162565843E-3</v>
      </c>
      <c r="AJ197">
        <v>1.7297881450950301E-3</v>
      </c>
      <c r="AK197">
        <v>0</v>
      </c>
      <c r="AL197">
        <v>3.34866977075347E-3</v>
      </c>
      <c r="AM197">
        <v>1.19971221990932</v>
      </c>
      <c r="AN197">
        <v>7.3460545862131604E-2</v>
      </c>
      <c r="AO197">
        <v>0</v>
      </c>
      <c r="AP197">
        <v>1.27317276577145</v>
      </c>
      <c r="AQ197">
        <v>3.4854077467806499E-2</v>
      </c>
      <c r="AR197">
        <v>3.7241864418291998E-2</v>
      </c>
      <c r="AS197">
        <v>0</v>
      </c>
      <c r="AT197">
        <v>7.2095941886098497E-2</v>
      </c>
      <c r="AU197">
        <v>0</v>
      </c>
      <c r="AV197">
        <v>0</v>
      </c>
      <c r="AW197">
        <v>0</v>
      </c>
      <c r="AX197">
        <v>7.2095941886098497E-2</v>
      </c>
      <c r="AY197">
        <v>3.9678714059804603E-2</v>
      </c>
      <c r="AZ197">
        <v>4.2397027741512598E-2</v>
      </c>
      <c r="BA197">
        <v>0</v>
      </c>
      <c r="BB197">
        <v>8.2075741801317298E-2</v>
      </c>
      <c r="BC197">
        <v>0</v>
      </c>
      <c r="BD197">
        <v>0</v>
      </c>
      <c r="BE197">
        <v>0</v>
      </c>
      <c r="BF197">
        <v>8.2075741801317298E-2</v>
      </c>
      <c r="BG197">
        <v>0.261256818232942</v>
      </c>
      <c r="BH197">
        <v>1.57700103240235</v>
      </c>
      <c r="BI197">
        <v>0</v>
      </c>
      <c r="BJ197">
        <v>1.83825785063529</v>
      </c>
      <c r="BK197">
        <v>7.2107444891771497E-2</v>
      </c>
      <c r="BL197">
        <v>4.4152690741730196E-3</v>
      </c>
      <c r="BM197">
        <v>0</v>
      </c>
      <c r="BN197">
        <v>7.6522713965944497E-2</v>
      </c>
      <c r="BO197">
        <v>1.43059303847617</v>
      </c>
      <c r="BP197">
        <v>721.87702219773701</v>
      </c>
    </row>
    <row r="198" spans="1:68" x14ac:dyDescent="0.25">
      <c r="A198" t="s">
        <v>37</v>
      </c>
      <c r="B198">
        <v>2030</v>
      </c>
      <c r="C198" t="s">
        <v>318</v>
      </c>
      <c r="D198">
        <v>2016</v>
      </c>
      <c r="E198" t="s">
        <v>39</v>
      </c>
      <c r="F198" t="s">
        <v>10</v>
      </c>
      <c r="G198">
        <v>729.44891176279498</v>
      </c>
      <c r="H198">
        <v>6692512.1481378498</v>
      </c>
      <c r="I198">
        <v>6692512.1481378498</v>
      </c>
      <c r="J198">
        <v>0</v>
      </c>
      <c r="K198">
        <v>3247681.6229067799</v>
      </c>
      <c r="L198">
        <v>0</v>
      </c>
      <c r="M198">
        <v>2.04416747948191</v>
      </c>
      <c r="N198">
        <v>2.4163614300722598</v>
      </c>
      <c r="O198">
        <v>5.8632322562546202</v>
      </c>
      <c r="P198">
        <v>10.323761165808801</v>
      </c>
      <c r="Q198">
        <v>2.8423154026303299E-2</v>
      </c>
      <c r="R198">
        <v>5.7704983389361296E-4</v>
      </c>
      <c r="S198">
        <v>0</v>
      </c>
      <c r="T198">
        <v>2.9000203860196899E-2</v>
      </c>
      <c r="U198">
        <v>2.2131695519441601E-2</v>
      </c>
      <c r="V198">
        <v>0.11181425732040901</v>
      </c>
      <c r="W198">
        <v>0.162946156700047</v>
      </c>
      <c r="X198">
        <v>2.9708322925494701E-2</v>
      </c>
      <c r="Y198">
        <v>6.0314146676156903E-4</v>
      </c>
      <c r="Z198">
        <v>0</v>
      </c>
      <c r="AA198">
        <v>3.03114643922563E-2</v>
      </c>
      <c r="AB198">
        <v>8.8526782077766403E-2</v>
      </c>
      <c r="AC198">
        <v>0.31946930662974099</v>
      </c>
      <c r="AD198">
        <v>0.43830755309976299</v>
      </c>
      <c r="AE198">
        <v>8642.6220016195093</v>
      </c>
      <c r="AF198">
        <v>522.65090791088699</v>
      </c>
      <c r="AG198">
        <v>0</v>
      </c>
      <c r="AH198">
        <v>9165.2729095304003</v>
      </c>
      <c r="AI198">
        <v>1.8187282184075101E-3</v>
      </c>
      <c r="AJ198">
        <v>1.9389651551526301E-3</v>
      </c>
      <c r="AK198">
        <v>0</v>
      </c>
      <c r="AL198">
        <v>3.7576933735601501E-3</v>
      </c>
      <c r="AM198">
        <v>1.3616486159691601</v>
      </c>
      <c r="AN198">
        <v>8.2343863385270194E-2</v>
      </c>
      <c r="AO198">
        <v>0</v>
      </c>
      <c r="AP198">
        <v>1.4439924793544301</v>
      </c>
      <c r="AQ198">
        <v>3.9156719807403401E-2</v>
      </c>
      <c r="AR198">
        <v>4.1745388083937698E-2</v>
      </c>
      <c r="AS198">
        <v>0</v>
      </c>
      <c r="AT198">
        <v>8.0902107891341099E-2</v>
      </c>
      <c r="AU198">
        <v>0</v>
      </c>
      <c r="AV198">
        <v>0</v>
      </c>
      <c r="AW198">
        <v>0</v>
      </c>
      <c r="AX198">
        <v>8.0902107891341099E-2</v>
      </c>
      <c r="AY198">
        <v>4.4576944840756E-2</v>
      </c>
      <c r="AZ198">
        <v>4.7523946620825097E-2</v>
      </c>
      <c r="BA198">
        <v>0</v>
      </c>
      <c r="BB198">
        <v>9.2100891461581194E-2</v>
      </c>
      <c r="BC198">
        <v>0</v>
      </c>
      <c r="BD198">
        <v>0</v>
      </c>
      <c r="BE198">
        <v>0</v>
      </c>
      <c r="BF198">
        <v>9.2100891461581194E-2</v>
      </c>
      <c r="BG198">
        <v>0.29392820126921398</v>
      </c>
      <c r="BH198">
        <v>1.76770205076177</v>
      </c>
      <c r="BI198">
        <v>0</v>
      </c>
      <c r="BJ198">
        <v>2.0616302520309802</v>
      </c>
      <c r="BK198">
        <v>8.1840462161312605E-2</v>
      </c>
      <c r="BL198">
        <v>4.9491915583536302E-3</v>
      </c>
      <c r="BM198">
        <v>0</v>
      </c>
      <c r="BN198">
        <v>8.6789653719666196E-2</v>
      </c>
      <c r="BO198">
        <v>1.62299053951545</v>
      </c>
      <c r="BP198">
        <v>818.73019836447099</v>
      </c>
    </row>
    <row r="199" spans="1:68" x14ac:dyDescent="0.25">
      <c r="A199" t="s">
        <v>37</v>
      </c>
      <c r="B199">
        <v>2030</v>
      </c>
      <c r="C199" t="s">
        <v>318</v>
      </c>
      <c r="D199">
        <v>2017</v>
      </c>
      <c r="E199" t="s">
        <v>39</v>
      </c>
      <c r="F199" t="s">
        <v>10</v>
      </c>
      <c r="G199">
        <v>517.10961167159599</v>
      </c>
      <c r="H199">
        <v>4816659.2437057002</v>
      </c>
      <c r="I199">
        <v>4816659.2437057002</v>
      </c>
      <c r="J199">
        <v>0</v>
      </c>
      <c r="K199">
        <v>2302296.0974687398</v>
      </c>
      <c r="L199">
        <v>0</v>
      </c>
      <c r="M199">
        <v>1.4556059728088699</v>
      </c>
      <c r="N199">
        <v>1.71296947683872</v>
      </c>
      <c r="O199">
        <v>4.1564716956602101</v>
      </c>
      <c r="P199">
        <v>7.3250471453078196</v>
      </c>
      <c r="Q199">
        <v>2.0270724566443001E-2</v>
      </c>
      <c r="R199">
        <v>4.0907322049295102E-4</v>
      </c>
      <c r="S199">
        <v>0</v>
      </c>
      <c r="T199">
        <v>2.0679797786935902E-2</v>
      </c>
      <c r="U199">
        <v>1.5928373896528399E-2</v>
      </c>
      <c r="V199">
        <v>8.0445238251092094E-2</v>
      </c>
      <c r="W199">
        <v>0.117053409934556</v>
      </c>
      <c r="X199">
        <v>2.1187276781329398E-2</v>
      </c>
      <c r="Y199">
        <v>4.2756969628811098E-4</v>
      </c>
      <c r="Z199">
        <v>0</v>
      </c>
      <c r="AA199">
        <v>2.1614846477617598E-2</v>
      </c>
      <c r="AB199">
        <v>6.3713495586113694E-2</v>
      </c>
      <c r="AC199">
        <v>0.22984353786026299</v>
      </c>
      <c r="AD199">
        <v>0.31517187992399398</v>
      </c>
      <c r="AE199">
        <v>5983.6195164266001</v>
      </c>
      <c r="AF199">
        <v>356.50165142229503</v>
      </c>
      <c r="AG199">
        <v>0</v>
      </c>
      <c r="AH199">
        <v>6340.1211678488899</v>
      </c>
      <c r="AI199">
        <v>1.2914118116162301E-3</v>
      </c>
      <c r="AJ199">
        <v>1.37454111214273E-3</v>
      </c>
      <c r="AK199">
        <v>0</v>
      </c>
      <c r="AL199">
        <v>2.66595292375896E-3</v>
      </c>
      <c r="AM199">
        <v>0.94272169157711905</v>
      </c>
      <c r="AN199">
        <v>5.6166980363010897E-2</v>
      </c>
      <c r="AO199">
        <v>0</v>
      </c>
      <c r="AP199">
        <v>0.99888867194012998</v>
      </c>
      <c r="AQ199">
        <v>2.78037421708369E-2</v>
      </c>
      <c r="AR199">
        <v>2.9593493215306601E-2</v>
      </c>
      <c r="AS199">
        <v>0</v>
      </c>
      <c r="AT199">
        <v>5.7397235386143601E-2</v>
      </c>
      <c r="AU199">
        <v>0</v>
      </c>
      <c r="AV199">
        <v>0</v>
      </c>
      <c r="AW199">
        <v>0</v>
      </c>
      <c r="AX199">
        <v>5.7397235386143601E-2</v>
      </c>
      <c r="AY199">
        <v>3.1652444004813297E-2</v>
      </c>
      <c r="AZ199">
        <v>3.3689939330786102E-2</v>
      </c>
      <c r="BA199">
        <v>0</v>
      </c>
      <c r="BB199">
        <v>6.5342383335599497E-2</v>
      </c>
      <c r="BC199">
        <v>0</v>
      </c>
      <c r="BD199">
        <v>0</v>
      </c>
      <c r="BE199">
        <v>0</v>
      </c>
      <c r="BF199">
        <v>6.5342383335599497E-2</v>
      </c>
      <c r="BG199">
        <v>0.20854149429095201</v>
      </c>
      <c r="BH199">
        <v>1.2531319277884501</v>
      </c>
      <c r="BI199">
        <v>0</v>
      </c>
      <c r="BJ199">
        <v>1.4616734220794101</v>
      </c>
      <c r="BK199">
        <v>5.6661298681122303E-2</v>
      </c>
      <c r="BL199">
        <v>3.3758574548562298E-3</v>
      </c>
      <c r="BM199">
        <v>0</v>
      </c>
      <c r="BN199">
        <v>6.0037156135978598E-2</v>
      </c>
      <c r="BO199">
        <v>1.1680804175722199</v>
      </c>
      <c r="BP199">
        <v>566.36051240875395</v>
      </c>
    </row>
    <row r="200" spans="1:68" x14ac:dyDescent="0.25">
      <c r="A200" t="s">
        <v>106</v>
      </c>
      <c r="M200" s="75">
        <f>SUM(M193:M199)*453.6*2000/SUM($H$193:$H$199)</f>
        <v>0.66631502735196446</v>
      </c>
      <c r="Q200" s="74">
        <f>SUM(Q193:Q199)*453.6*2000/SUM($H$193:$H$199)</f>
        <v>5.3015144166000281E-3</v>
      </c>
      <c r="X200" s="74">
        <f>SUM(X193:X199)*453.6*2000/SUM($H$193:$H$199)</f>
        <v>5.541225373396878E-3</v>
      </c>
      <c r="AE200" s="73">
        <f>SUM(AE193:AE199)*453.6*2000/SUM($H$193:$H$199)</f>
        <v>1097.7411825947797</v>
      </c>
      <c r="AI200" s="74">
        <f>SUM(AI193:AI199)*453.6*2000/SUM($H$193:$H$199)</f>
        <v>3.1970703735303204E-4</v>
      </c>
      <c r="AM200" s="74">
        <f>SUM(AM193:AM199)*453.6*2000/SUM($H$193:$H$199)</f>
        <v>0.17294957036098993</v>
      </c>
    </row>
    <row r="201" spans="1:68" x14ac:dyDescent="0.25">
      <c r="A201" t="s">
        <v>283</v>
      </c>
      <c r="N201" s="75">
        <f>SUM(N193:N199)*453.6*2000/SUM($G$193:$G$199)/312</f>
        <v>9.6651555026447067</v>
      </c>
      <c r="R201" s="74">
        <f>SUM(R193:R199)*453.6*2000/SUM($G$193:$G$199)/312</f>
        <v>2.3002068220415476E-3</v>
      </c>
      <c r="Y201" s="74">
        <f>SUM(Y193:Y199)*453.6*2000/SUM($G$193:$G$199)/312</f>
        <v>2.4042119675176657E-3</v>
      </c>
      <c r="AF201" s="73">
        <f>SUM(AF193:AF199)*453.6*2000/SUM($G$193:$G$199)/312</f>
        <v>2104.3632575548545</v>
      </c>
      <c r="AJ201" s="74">
        <f>SUM(AJ193:AJ199)*453.6*2000/SUM($G$193:$G$199)/312</f>
        <v>7.7433258517779803E-3</v>
      </c>
      <c r="AN201" s="74">
        <f>SUM(AN193:AN199)*453.6*2000/SUM($G$193:$G$199)/312</f>
        <v>0.33154328820686529</v>
      </c>
    </row>
    <row r="202" spans="1:68" x14ac:dyDescent="0.25">
      <c r="A202" t="s">
        <v>320</v>
      </c>
      <c r="H202">
        <f>SUM(H193:H199)/SUM(G193:G199)</f>
        <v>9085.4116602714148</v>
      </c>
      <c r="N202" s="75"/>
      <c r="R202" s="74"/>
      <c r="Y202" s="74"/>
      <c r="AF202" s="73"/>
      <c r="AJ202" s="74"/>
      <c r="AN202" s="74"/>
      <c r="BP202" s="74">
        <f>SUM(H193:H199)/(SUM(BP193:BP199)*1000)</f>
        <v>8.6799917175434818</v>
      </c>
    </row>
    <row r="204" spans="1:68" x14ac:dyDescent="0.25">
      <c r="A204" t="s">
        <v>37</v>
      </c>
      <c r="B204">
        <v>2030</v>
      </c>
      <c r="C204" t="s">
        <v>319</v>
      </c>
      <c r="D204">
        <v>2011</v>
      </c>
      <c r="E204" t="s">
        <v>39</v>
      </c>
      <c r="F204" t="s">
        <v>10</v>
      </c>
      <c r="G204">
        <v>93.8407647789967</v>
      </c>
      <c r="H204">
        <v>837388.83094192995</v>
      </c>
      <c r="I204">
        <v>837388.83094192995</v>
      </c>
      <c r="J204">
        <v>0</v>
      </c>
      <c r="K204">
        <v>417801.60657964001</v>
      </c>
      <c r="L204">
        <v>0</v>
      </c>
      <c r="M204">
        <v>1.9826868538031901</v>
      </c>
      <c r="N204">
        <v>0.36077111976805598</v>
      </c>
      <c r="O204">
        <v>0.73594014698452404</v>
      </c>
      <c r="P204">
        <v>3.0793981205557701</v>
      </c>
      <c r="Q204">
        <v>1.5884877455463801E-2</v>
      </c>
      <c r="R204">
        <v>7.4235216277592498E-5</v>
      </c>
      <c r="S204">
        <v>0</v>
      </c>
      <c r="T204">
        <v>1.59591126717414E-2</v>
      </c>
      <c r="U204">
        <v>2.7691895401255502E-3</v>
      </c>
      <c r="V204">
        <v>1.4031427380757499E-2</v>
      </c>
      <c r="W204">
        <v>3.2759729592624499E-2</v>
      </c>
      <c r="X204">
        <v>1.6603121125900101E-2</v>
      </c>
      <c r="Y204">
        <v>7.7591803343771696E-5</v>
      </c>
      <c r="Z204">
        <v>0</v>
      </c>
      <c r="AA204">
        <v>1.6680712929243901E-2</v>
      </c>
      <c r="AB204">
        <v>1.1076758160502201E-2</v>
      </c>
      <c r="AC204">
        <v>4.0089792516450201E-2</v>
      </c>
      <c r="AD204">
        <v>6.7847263606196404E-2</v>
      </c>
      <c r="AE204">
        <v>906.249677302073</v>
      </c>
      <c r="AF204">
        <v>73.831063356283195</v>
      </c>
      <c r="AG204">
        <v>0</v>
      </c>
      <c r="AH204">
        <v>980.08074065835604</v>
      </c>
      <c r="AI204">
        <v>1.8116611776802E-3</v>
      </c>
      <c r="AJ204">
        <v>2.7098623733163798E-4</v>
      </c>
      <c r="AK204">
        <v>0</v>
      </c>
      <c r="AL204">
        <v>2.08264741501184E-3</v>
      </c>
      <c r="AM204">
        <v>0.14278000571928701</v>
      </c>
      <c r="AN204">
        <v>1.16321140986816E-2</v>
      </c>
      <c r="AO204">
        <v>0</v>
      </c>
      <c r="AP204">
        <v>0.15441211981796801</v>
      </c>
      <c r="AQ204">
        <v>3.9004568358481102E-2</v>
      </c>
      <c r="AR204">
        <v>5.8342593794186897E-3</v>
      </c>
      <c r="AS204">
        <v>0</v>
      </c>
      <c r="AT204">
        <v>4.4838827737899802E-2</v>
      </c>
      <c r="AU204">
        <v>0</v>
      </c>
      <c r="AV204">
        <v>0</v>
      </c>
      <c r="AW204">
        <v>0</v>
      </c>
      <c r="AX204">
        <v>4.4838827737899802E-2</v>
      </c>
      <c r="AY204">
        <v>4.4403731998122399E-2</v>
      </c>
      <c r="AZ204">
        <v>6.6418601921256499E-3</v>
      </c>
      <c r="BA204">
        <v>0</v>
      </c>
      <c r="BB204">
        <v>5.1045592190247999E-2</v>
      </c>
      <c r="BC204">
        <v>0</v>
      </c>
      <c r="BD204">
        <v>0</v>
      </c>
      <c r="BE204">
        <v>0</v>
      </c>
      <c r="BF204">
        <v>5.1045592190247999E-2</v>
      </c>
      <c r="BG204">
        <v>0.11749880624476999</v>
      </c>
      <c r="BH204">
        <v>0.196962629342637</v>
      </c>
      <c r="BI204">
        <v>0</v>
      </c>
      <c r="BJ204">
        <v>0.31446143558740802</v>
      </c>
      <c r="BK204">
        <v>8.58164251659322E-3</v>
      </c>
      <c r="BL204">
        <v>6.9913601981055201E-4</v>
      </c>
      <c r="BM204">
        <v>0</v>
      </c>
      <c r="BN204">
        <v>9.2807785364037703E-3</v>
      </c>
      <c r="BO204">
        <v>0.203073841396434</v>
      </c>
      <c r="BP204">
        <v>87.550224323164997</v>
      </c>
    </row>
    <row r="205" spans="1:68" x14ac:dyDescent="0.25">
      <c r="A205" t="s">
        <v>37</v>
      </c>
      <c r="B205">
        <v>2030</v>
      </c>
      <c r="C205" t="s">
        <v>319</v>
      </c>
      <c r="D205">
        <v>2012</v>
      </c>
      <c r="E205" t="s">
        <v>39</v>
      </c>
      <c r="F205" t="s">
        <v>10</v>
      </c>
      <c r="G205">
        <v>264.12305821211498</v>
      </c>
      <c r="H205">
        <v>2356877.9571644398</v>
      </c>
      <c r="I205">
        <v>2356877.9571644398</v>
      </c>
      <c r="J205">
        <v>0</v>
      </c>
      <c r="K205">
        <v>1175939.24469431</v>
      </c>
      <c r="L205">
        <v>0</v>
      </c>
      <c r="M205">
        <v>4.4519406104412402</v>
      </c>
      <c r="N205">
        <v>0.87493004700513699</v>
      </c>
      <c r="O205">
        <v>2.5445070349877201</v>
      </c>
      <c r="P205">
        <v>7.8713776924341099</v>
      </c>
      <c r="Q205">
        <v>2.21232135590523E-2</v>
      </c>
      <c r="R205">
        <v>2.0894152340353601E-4</v>
      </c>
      <c r="S205">
        <v>0</v>
      </c>
      <c r="T205">
        <v>2.2332155082455899E-2</v>
      </c>
      <c r="U205">
        <v>7.7940396923984901E-3</v>
      </c>
      <c r="V205">
        <v>3.94837149985173E-2</v>
      </c>
      <c r="W205">
        <v>6.9609909773371698E-2</v>
      </c>
      <c r="X205">
        <v>2.3123527105886402E-2</v>
      </c>
      <c r="Y205">
        <v>2.1838893192756501E-4</v>
      </c>
      <c r="Z205">
        <v>0</v>
      </c>
      <c r="AA205">
        <v>2.3341916037813999E-2</v>
      </c>
      <c r="AB205">
        <v>3.1176158769593901E-2</v>
      </c>
      <c r="AC205">
        <v>0.112810614281477</v>
      </c>
      <c r="AD205">
        <v>0.16732868908888601</v>
      </c>
      <c r="AE205">
        <v>2516.5510444263</v>
      </c>
      <c r="AF205">
        <v>199.86131862780101</v>
      </c>
      <c r="AG205">
        <v>0</v>
      </c>
      <c r="AH205">
        <v>2716.4123630540998</v>
      </c>
      <c r="AI205">
        <v>1.03199922616077E-3</v>
      </c>
      <c r="AJ205">
        <v>7.0207165750377199E-4</v>
      </c>
      <c r="AK205">
        <v>0</v>
      </c>
      <c r="AL205">
        <v>1.7340708836645401E-3</v>
      </c>
      <c r="AM205">
        <v>0.39648364188746399</v>
      </c>
      <c r="AN205">
        <v>3.14882321411631E-2</v>
      </c>
      <c r="AO205">
        <v>0</v>
      </c>
      <c r="AP205">
        <v>0.42797187402862702</v>
      </c>
      <c r="AQ205">
        <v>2.22186603425647E-2</v>
      </c>
      <c r="AR205">
        <v>1.51154102627085E-2</v>
      </c>
      <c r="AS205">
        <v>0</v>
      </c>
      <c r="AT205">
        <v>3.7334070605273197E-2</v>
      </c>
      <c r="AU205">
        <v>0</v>
      </c>
      <c r="AV205">
        <v>0</v>
      </c>
      <c r="AW205">
        <v>0</v>
      </c>
      <c r="AX205">
        <v>3.7334070605273197E-2</v>
      </c>
      <c r="AY205">
        <v>2.52942534869516E-2</v>
      </c>
      <c r="AZ205">
        <v>1.7207743979585299E-2</v>
      </c>
      <c r="BA205">
        <v>0</v>
      </c>
      <c r="BB205">
        <v>4.2501997466537003E-2</v>
      </c>
      <c r="BC205">
        <v>0</v>
      </c>
      <c r="BD205">
        <v>0</v>
      </c>
      <c r="BE205">
        <v>0</v>
      </c>
      <c r="BF205">
        <v>4.2501997466537003E-2</v>
      </c>
      <c r="BG205">
        <v>0.21453731892629899</v>
      </c>
      <c r="BH205">
        <v>0.64005972745468898</v>
      </c>
      <c r="BI205">
        <v>0</v>
      </c>
      <c r="BJ205">
        <v>0.85459704638098799</v>
      </c>
      <c r="BK205">
        <v>2.3830233520543701E-2</v>
      </c>
      <c r="BL205">
        <v>1.89256717250894E-3</v>
      </c>
      <c r="BM205">
        <v>0</v>
      </c>
      <c r="BN205">
        <v>2.5722800693052699E-2</v>
      </c>
      <c r="BO205">
        <v>0.57156274693274101</v>
      </c>
      <c r="BP205">
        <v>242.656040337912</v>
      </c>
    </row>
    <row r="206" spans="1:68" x14ac:dyDescent="0.25">
      <c r="A206" t="s">
        <v>37</v>
      </c>
      <c r="B206">
        <v>2030</v>
      </c>
      <c r="C206" t="s">
        <v>319</v>
      </c>
      <c r="D206">
        <v>2013</v>
      </c>
      <c r="E206" t="s">
        <v>39</v>
      </c>
      <c r="F206" t="s">
        <v>10</v>
      </c>
      <c r="G206">
        <v>309.83830254363102</v>
      </c>
      <c r="H206">
        <v>2764858.33383688</v>
      </c>
      <c r="I206">
        <v>2764858.33383688</v>
      </c>
      <c r="J206">
        <v>0</v>
      </c>
      <c r="K206">
        <v>1379474.48411685</v>
      </c>
      <c r="L206">
        <v>0</v>
      </c>
      <c r="M206">
        <v>5.0067325894205199</v>
      </c>
      <c r="N206">
        <v>1.02636567380188</v>
      </c>
      <c r="O206">
        <v>2.1473368174213801</v>
      </c>
      <c r="P206">
        <v>8.1804350806437895</v>
      </c>
      <c r="Q206">
        <v>2.5307789886296402E-2</v>
      </c>
      <c r="R206">
        <v>2.4510577524148501E-4</v>
      </c>
      <c r="S206">
        <v>0</v>
      </c>
      <c r="T206">
        <v>2.5552895661537799E-2</v>
      </c>
      <c r="U206">
        <v>9.1432038439994597E-3</v>
      </c>
      <c r="V206">
        <v>4.6292527777171001E-2</v>
      </c>
      <c r="W206">
        <v>8.0988627282708406E-2</v>
      </c>
      <c r="X206">
        <v>2.64520958433003E-2</v>
      </c>
      <c r="Y206">
        <v>2.5618837075713601E-4</v>
      </c>
      <c r="Z206">
        <v>0</v>
      </c>
      <c r="AA206">
        <v>2.6708284214057399E-2</v>
      </c>
      <c r="AB206">
        <v>3.6572815375997797E-2</v>
      </c>
      <c r="AC206">
        <v>0.13226436507763101</v>
      </c>
      <c r="AD206">
        <v>0.19554546466768699</v>
      </c>
      <c r="AE206">
        <v>2678.4184487038601</v>
      </c>
      <c r="AF206">
        <v>234.45394024644</v>
      </c>
      <c r="AG206">
        <v>0</v>
      </c>
      <c r="AH206">
        <v>2912.8723889502999</v>
      </c>
      <c r="AI206">
        <v>1.19138935298232E-3</v>
      </c>
      <c r="AJ206">
        <v>8.2358841404247304E-4</v>
      </c>
      <c r="AK206">
        <v>0</v>
      </c>
      <c r="AL206">
        <v>2.0149777670247899E-3</v>
      </c>
      <c r="AM206">
        <v>0.42198591735013702</v>
      </c>
      <c r="AN206">
        <v>3.6938313764649303E-2</v>
      </c>
      <c r="AO206">
        <v>0</v>
      </c>
      <c r="AP206">
        <v>0.45892423111478697</v>
      </c>
      <c r="AQ206">
        <v>2.5650286064786601E-2</v>
      </c>
      <c r="AR206">
        <v>1.7731632708443999E-2</v>
      </c>
      <c r="AS206">
        <v>0</v>
      </c>
      <c r="AT206">
        <v>4.33819187732307E-2</v>
      </c>
      <c r="AU206">
        <v>0</v>
      </c>
      <c r="AV206">
        <v>0</v>
      </c>
      <c r="AW206">
        <v>0</v>
      </c>
      <c r="AX206">
        <v>4.33819187732307E-2</v>
      </c>
      <c r="AY206">
        <v>2.9200898151929E-2</v>
      </c>
      <c r="AZ206">
        <v>2.01861140838311E-2</v>
      </c>
      <c r="BA206">
        <v>0</v>
      </c>
      <c r="BB206">
        <v>4.9387012235760197E-2</v>
      </c>
      <c r="BC206">
        <v>0</v>
      </c>
      <c r="BD206">
        <v>0</v>
      </c>
      <c r="BE206">
        <v>0</v>
      </c>
      <c r="BF206">
        <v>4.9387012235760197E-2</v>
      </c>
      <c r="BG206">
        <v>0.246840903499947</v>
      </c>
      <c r="BH206">
        <v>0.75084326534579204</v>
      </c>
      <c r="BI206">
        <v>0</v>
      </c>
      <c r="BJ206">
        <v>0.99768416884573896</v>
      </c>
      <c r="BK206">
        <v>2.5363021044103699E-2</v>
      </c>
      <c r="BL206">
        <v>2.2201386132256898E-3</v>
      </c>
      <c r="BM206">
        <v>0</v>
      </c>
      <c r="BN206">
        <v>2.7583159657329399E-2</v>
      </c>
      <c r="BO206">
        <v>0.67050142302189097</v>
      </c>
      <c r="BP206">
        <v>260.20573662741702</v>
      </c>
    </row>
    <row r="207" spans="1:68" x14ac:dyDescent="0.25">
      <c r="A207" t="s">
        <v>37</v>
      </c>
      <c r="B207">
        <v>2030</v>
      </c>
      <c r="C207" t="s">
        <v>319</v>
      </c>
      <c r="D207">
        <v>2014</v>
      </c>
      <c r="E207" t="s">
        <v>39</v>
      </c>
      <c r="F207" t="s">
        <v>10</v>
      </c>
      <c r="G207">
        <v>372.74858520502698</v>
      </c>
      <c r="H207">
        <v>3346266.5031120102</v>
      </c>
      <c r="I207">
        <v>3346266.5031120102</v>
      </c>
      <c r="J207">
        <v>0</v>
      </c>
      <c r="K207">
        <v>1659566.1609932301</v>
      </c>
      <c r="L207">
        <v>0</v>
      </c>
      <c r="M207">
        <v>1.04025365186032</v>
      </c>
      <c r="N207">
        <v>1.2347613244453399</v>
      </c>
      <c r="O207">
        <v>2.5833370312238801</v>
      </c>
      <c r="P207">
        <v>4.8583520075295503</v>
      </c>
      <c r="Q207">
        <v>1.43426058699169E-2</v>
      </c>
      <c r="R207">
        <v>2.9487261644800099E-4</v>
      </c>
      <c r="S207">
        <v>0</v>
      </c>
      <c r="T207">
        <v>1.46374784863649E-2</v>
      </c>
      <c r="U207">
        <v>1.10658822478774E-2</v>
      </c>
      <c r="V207">
        <v>5.5954955627920203E-2</v>
      </c>
      <c r="W207">
        <v>8.16583163621626E-2</v>
      </c>
      <c r="X207">
        <v>1.4991114862983599E-2</v>
      </c>
      <c r="Y207">
        <v>3.0820544768592401E-4</v>
      </c>
      <c r="Z207">
        <v>0</v>
      </c>
      <c r="AA207">
        <v>1.52993203106695E-2</v>
      </c>
      <c r="AB207">
        <v>4.42635289915096E-2</v>
      </c>
      <c r="AC207">
        <v>0.15987130179405701</v>
      </c>
      <c r="AD207">
        <v>0.21943415109623701</v>
      </c>
      <c r="AE207">
        <v>4322.5002248562796</v>
      </c>
      <c r="AF207">
        <v>267.074751004988</v>
      </c>
      <c r="AG207">
        <v>0</v>
      </c>
      <c r="AH207">
        <v>4589.5749758612701</v>
      </c>
      <c r="AI207">
        <v>9.2723632087636303E-4</v>
      </c>
      <c r="AJ207">
        <v>9.9081170276668499E-4</v>
      </c>
      <c r="AK207">
        <v>0</v>
      </c>
      <c r="AL207">
        <v>1.9180480236430401E-3</v>
      </c>
      <c r="AM207">
        <v>0.68101167071741198</v>
      </c>
      <c r="AN207">
        <v>4.2077735784129697E-2</v>
      </c>
      <c r="AO207">
        <v>0</v>
      </c>
      <c r="AP207">
        <v>0.72308940650154196</v>
      </c>
      <c r="AQ207">
        <v>1.9963143720063001E-2</v>
      </c>
      <c r="AR207">
        <v>2.13319042584065E-2</v>
      </c>
      <c r="AS207">
        <v>0</v>
      </c>
      <c r="AT207">
        <v>4.1295047978469501E-2</v>
      </c>
      <c r="AU207">
        <v>0</v>
      </c>
      <c r="AV207">
        <v>0</v>
      </c>
      <c r="AW207">
        <v>0</v>
      </c>
      <c r="AX207">
        <v>4.1295047978469501E-2</v>
      </c>
      <c r="AY207">
        <v>2.27265195050654E-2</v>
      </c>
      <c r="AZ207">
        <v>2.42847491861534E-2</v>
      </c>
      <c r="BA207">
        <v>0</v>
      </c>
      <c r="BB207">
        <v>4.7011268691218799E-2</v>
      </c>
      <c r="BC207">
        <v>0</v>
      </c>
      <c r="BD207">
        <v>0</v>
      </c>
      <c r="BE207">
        <v>0</v>
      </c>
      <c r="BF207">
        <v>4.7011268691218799E-2</v>
      </c>
      <c r="BG207">
        <v>0.150426053635387</v>
      </c>
      <c r="BH207">
        <v>0.90329621151008099</v>
      </c>
      <c r="BI207">
        <v>0</v>
      </c>
      <c r="BJ207">
        <v>1.0537222651454601</v>
      </c>
      <c r="BK207">
        <v>4.0931492321233803E-2</v>
      </c>
      <c r="BL207">
        <v>2.5290381842188502E-3</v>
      </c>
      <c r="BM207">
        <v>0</v>
      </c>
      <c r="BN207">
        <v>4.3460530505452698E-2</v>
      </c>
      <c r="BO207">
        <v>0.81149779888847695</v>
      </c>
      <c r="BP207">
        <v>409.98491452318802</v>
      </c>
    </row>
    <row r="208" spans="1:68" x14ac:dyDescent="0.25">
      <c r="A208" t="s">
        <v>37</v>
      </c>
      <c r="B208">
        <v>2030</v>
      </c>
      <c r="C208" t="s">
        <v>319</v>
      </c>
      <c r="D208">
        <v>2015</v>
      </c>
      <c r="E208" t="s">
        <v>39</v>
      </c>
      <c r="F208" t="s">
        <v>10</v>
      </c>
      <c r="G208">
        <v>466.81767775558399</v>
      </c>
      <c r="H208">
        <v>4229040.7058676397</v>
      </c>
      <c r="I208">
        <v>4229040.7058676397</v>
      </c>
      <c r="J208">
        <v>0</v>
      </c>
      <c r="K208">
        <v>2078384.33761052</v>
      </c>
      <c r="L208">
        <v>0</v>
      </c>
      <c r="M208">
        <v>1.30386789050624</v>
      </c>
      <c r="N208">
        <v>1.5463731773601399</v>
      </c>
      <c r="O208">
        <v>3.2352836245176899</v>
      </c>
      <c r="P208">
        <v>6.0855246923840802</v>
      </c>
      <c r="Q208">
        <v>1.8084136761650899E-2</v>
      </c>
      <c r="R208">
        <v>3.6928845744178303E-4</v>
      </c>
      <c r="S208">
        <v>0</v>
      </c>
      <c r="T208">
        <v>1.8453425219092701E-2</v>
      </c>
      <c r="U208">
        <v>1.39851582141142E-2</v>
      </c>
      <c r="V208">
        <v>7.0677537354577297E-2</v>
      </c>
      <c r="W208">
        <v>0.103116120787784</v>
      </c>
      <c r="X208">
        <v>1.89018211788444E-2</v>
      </c>
      <c r="Y208">
        <v>3.8598604279404099E-4</v>
      </c>
      <c r="Z208">
        <v>0</v>
      </c>
      <c r="AA208">
        <v>1.9287807221638399E-2</v>
      </c>
      <c r="AB208">
        <v>5.5940632856457097E-2</v>
      </c>
      <c r="AC208">
        <v>0.201935821013078</v>
      </c>
      <c r="AD208">
        <v>0.27716426109117298</v>
      </c>
      <c r="AE208">
        <v>5462.4860901598704</v>
      </c>
      <c r="AF208">
        <v>334.47535416593303</v>
      </c>
      <c r="AG208">
        <v>0</v>
      </c>
      <c r="AH208">
        <v>5796.9614443257997</v>
      </c>
      <c r="AI208">
        <v>1.16206390116908E-3</v>
      </c>
      <c r="AJ208">
        <v>1.2408589503410099E-3</v>
      </c>
      <c r="AK208">
        <v>0</v>
      </c>
      <c r="AL208">
        <v>2.4029228515100899E-3</v>
      </c>
      <c r="AM208">
        <v>0.86061690804286295</v>
      </c>
      <c r="AN208">
        <v>5.2696728260300599E-2</v>
      </c>
      <c r="AO208">
        <v>0</v>
      </c>
      <c r="AP208">
        <v>0.91331363630316398</v>
      </c>
      <c r="AQ208">
        <v>2.50189171289254E-2</v>
      </c>
      <c r="AR208">
        <v>2.6715352930277599E-2</v>
      </c>
      <c r="AS208">
        <v>0</v>
      </c>
      <c r="AT208">
        <v>5.1734270059203002E-2</v>
      </c>
      <c r="AU208">
        <v>0</v>
      </c>
      <c r="AV208">
        <v>0</v>
      </c>
      <c r="AW208">
        <v>0</v>
      </c>
      <c r="AX208">
        <v>5.1734270059203002E-2</v>
      </c>
      <c r="AY208">
        <v>2.8482132679068E-2</v>
      </c>
      <c r="AZ208">
        <v>3.0413395704028099E-2</v>
      </c>
      <c r="BA208">
        <v>0</v>
      </c>
      <c r="BB208">
        <v>5.8895528383096203E-2</v>
      </c>
      <c r="BC208">
        <v>0</v>
      </c>
      <c r="BD208">
        <v>0</v>
      </c>
      <c r="BE208">
        <v>0</v>
      </c>
      <c r="BF208">
        <v>5.8895528383096203E-2</v>
      </c>
      <c r="BG208">
        <v>0.188022240315251</v>
      </c>
      <c r="BH208">
        <v>1.1312575191951999</v>
      </c>
      <c r="BI208">
        <v>0</v>
      </c>
      <c r="BJ208">
        <v>1.31927975951045</v>
      </c>
      <c r="BK208">
        <v>5.17264767665013E-2</v>
      </c>
      <c r="BL208">
        <v>3.1672815913248499E-3</v>
      </c>
      <c r="BM208">
        <v>0</v>
      </c>
      <c r="BN208">
        <v>5.48937583578262E-2</v>
      </c>
      <c r="BO208">
        <v>1.0255779750446501</v>
      </c>
      <c r="BP208">
        <v>517.84026946855295</v>
      </c>
    </row>
    <row r="209" spans="1:68" x14ac:dyDescent="0.25">
      <c r="A209" t="s">
        <v>37</v>
      </c>
      <c r="B209">
        <v>2030</v>
      </c>
      <c r="C209" t="s">
        <v>319</v>
      </c>
      <c r="D209">
        <v>2016</v>
      </c>
      <c r="E209" t="s">
        <v>39</v>
      </c>
      <c r="F209" t="s">
        <v>10</v>
      </c>
      <c r="G209">
        <v>747.32451643039599</v>
      </c>
      <c r="H209">
        <v>6852622.7142338296</v>
      </c>
      <c r="I209">
        <v>6852622.7142338296</v>
      </c>
      <c r="J209">
        <v>0</v>
      </c>
      <c r="K209">
        <v>3327268.1050320598</v>
      </c>
      <c r="L209">
        <v>0</v>
      </c>
      <c r="M209">
        <v>2.0986282683761699</v>
      </c>
      <c r="N209">
        <v>2.47557588767387</v>
      </c>
      <c r="O209">
        <v>6.0069144527694096</v>
      </c>
      <c r="P209">
        <v>10.5811186088194</v>
      </c>
      <c r="Q209">
        <v>2.9105770805707198E-2</v>
      </c>
      <c r="R209">
        <v>5.91190803244415E-4</v>
      </c>
      <c r="S209">
        <v>0</v>
      </c>
      <c r="T209">
        <v>2.9696961608951598E-2</v>
      </c>
      <c r="U209">
        <v>2.26611705834916E-2</v>
      </c>
      <c r="V209">
        <v>0.11451148520324</v>
      </c>
      <c r="W209">
        <v>0.16686961739568301</v>
      </c>
      <c r="X209">
        <v>3.04218046065961E-2</v>
      </c>
      <c r="Y209">
        <v>6.1792182799679104E-4</v>
      </c>
      <c r="Z209">
        <v>0</v>
      </c>
      <c r="AA209">
        <v>3.10397264345929E-2</v>
      </c>
      <c r="AB209">
        <v>9.06446823339664E-2</v>
      </c>
      <c r="AC209">
        <v>0.32717567200925801</v>
      </c>
      <c r="AD209">
        <v>0.44886008077781803</v>
      </c>
      <c r="AE209">
        <v>8852.6027303113697</v>
      </c>
      <c r="AF209">
        <v>535.45879734405298</v>
      </c>
      <c r="AG209">
        <v>0</v>
      </c>
      <c r="AH209">
        <v>9388.0615276554199</v>
      </c>
      <c r="AI209">
        <v>1.8637824289384399E-3</v>
      </c>
      <c r="AJ209">
        <v>1.9864807165839199E-3</v>
      </c>
      <c r="AK209">
        <v>0</v>
      </c>
      <c r="AL209">
        <v>3.8502631455223598E-3</v>
      </c>
      <c r="AM209">
        <v>1.3947311652869401</v>
      </c>
      <c r="AN209">
        <v>8.4361751581339503E-2</v>
      </c>
      <c r="AO209">
        <v>0</v>
      </c>
      <c r="AP209">
        <v>1.47909291686827</v>
      </c>
      <c r="AQ209">
        <v>4.0126724605287899E-2</v>
      </c>
      <c r="AR209">
        <v>4.2768385091750898E-2</v>
      </c>
      <c r="AS209">
        <v>0</v>
      </c>
      <c r="AT209">
        <v>8.2895109697038893E-2</v>
      </c>
      <c r="AU209">
        <v>0</v>
      </c>
      <c r="AV209">
        <v>0</v>
      </c>
      <c r="AW209">
        <v>0</v>
      </c>
      <c r="AX209">
        <v>8.2895109697038893E-2</v>
      </c>
      <c r="AY209">
        <v>4.5681221465132399E-2</v>
      </c>
      <c r="AZ209">
        <v>4.86885508423699E-2</v>
      </c>
      <c r="BA209">
        <v>0</v>
      </c>
      <c r="BB209">
        <v>9.4369772307502306E-2</v>
      </c>
      <c r="BC209">
        <v>0</v>
      </c>
      <c r="BD209">
        <v>0</v>
      </c>
      <c r="BE209">
        <v>0</v>
      </c>
      <c r="BF209">
        <v>9.4369772307502306E-2</v>
      </c>
      <c r="BG209">
        <v>0.30127816793517698</v>
      </c>
      <c r="BH209">
        <v>1.8110207020340601</v>
      </c>
      <c r="BI209">
        <v>0</v>
      </c>
      <c r="BJ209">
        <v>2.1122988699692402</v>
      </c>
      <c r="BK209">
        <v>8.3828854095830893E-2</v>
      </c>
      <c r="BL209">
        <v>5.0704746123070299E-3</v>
      </c>
      <c r="BM209">
        <v>0</v>
      </c>
      <c r="BN209">
        <v>8.8899328708137895E-2</v>
      </c>
      <c r="BO209">
        <v>1.66181869974861</v>
      </c>
      <c r="BP209">
        <v>838.63181736821798</v>
      </c>
    </row>
    <row r="210" spans="1:68" x14ac:dyDescent="0.25">
      <c r="A210" t="s">
        <v>37</v>
      </c>
      <c r="B210">
        <v>2030</v>
      </c>
      <c r="C210" t="s">
        <v>319</v>
      </c>
      <c r="D210">
        <v>2017</v>
      </c>
      <c r="E210" t="s">
        <v>39</v>
      </c>
      <c r="F210" t="s">
        <v>10</v>
      </c>
      <c r="G210">
        <v>716.64251610935798</v>
      </c>
      <c r="H210">
        <v>6671063.5827560304</v>
      </c>
      <c r="I210">
        <v>6671063.5827560304</v>
      </c>
      <c r="J210">
        <v>0</v>
      </c>
      <c r="K210">
        <v>3190664.4759227298</v>
      </c>
      <c r="L210">
        <v>0</v>
      </c>
      <c r="M210">
        <v>2.0298824509622202</v>
      </c>
      <c r="N210">
        <v>2.37393915756468</v>
      </c>
      <c r="O210">
        <v>5.7602958190749298</v>
      </c>
      <c r="P210">
        <v>10.1641174276018</v>
      </c>
      <c r="Q210">
        <v>2.7930203967112401E-2</v>
      </c>
      <c r="R210">
        <v>5.6691899626343505E-4</v>
      </c>
      <c r="S210">
        <v>0</v>
      </c>
      <c r="T210">
        <v>2.84971229633759E-2</v>
      </c>
      <c r="U210">
        <v>2.20607665307677E-2</v>
      </c>
      <c r="V210">
        <v>0.111528438321678</v>
      </c>
      <c r="W210">
        <v>0.162086327815822</v>
      </c>
      <c r="X210">
        <v>2.9193083852060701E-2</v>
      </c>
      <c r="Y210">
        <v>5.9255255760868003E-4</v>
      </c>
      <c r="Z210">
        <v>0</v>
      </c>
      <c r="AA210">
        <v>2.97856364096694E-2</v>
      </c>
      <c r="AB210">
        <v>8.8243066123070896E-2</v>
      </c>
      <c r="AC210">
        <v>0.318652680919082</v>
      </c>
      <c r="AD210">
        <v>0.436681383451822</v>
      </c>
      <c r="AE210">
        <v>8291.9857624584092</v>
      </c>
      <c r="AF210">
        <v>494.06206093626798</v>
      </c>
      <c r="AG210">
        <v>0</v>
      </c>
      <c r="AH210">
        <v>8786.0478233946797</v>
      </c>
      <c r="AI210">
        <v>1.7904281979012201E-3</v>
      </c>
      <c r="AJ210">
        <v>1.9049241763607601E-3</v>
      </c>
      <c r="AK210">
        <v>0</v>
      </c>
      <c r="AL210">
        <v>3.6953523742619802E-3</v>
      </c>
      <c r="AM210">
        <v>1.30640573369653</v>
      </c>
      <c r="AN210">
        <v>7.7839678901921394E-2</v>
      </c>
      <c r="AO210">
        <v>0</v>
      </c>
      <c r="AP210">
        <v>1.38424541259845</v>
      </c>
      <c r="AQ210">
        <v>3.8547428126385203E-2</v>
      </c>
      <c r="AR210">
        <v>4.1012495145326899E-2</v>
      </c>
      <c r="AS210">
        <v>0</v>
      </c>
      <c r="AT210">
        <v>7.9559923271712102E-2</v>
      </c>
      <c r="AU210">
        <v>0</v>
      </c>
      <c r="AV210">
        <v>0</v>
      </c>
      <c r="AW210">
        <v>0</v>
      </c>
      <c r="AX210">
        <v>7.9559923271712102E-2</v>
      </c>
      <c r="AY210">
        <v>4.3883312641984799E-2</v>
      </c>
      <c r="AZ210">
        <v>4.6689603798971697E-2</v>
      </c>
      <c r="BA210">
        <v>0</v>
      </c>
      <c r="BB210">
        <v>9.0572916440956594E-2</v>
      </c>
      <c r="BC210">
        <v>0</v>
      </c>
      <c r="BD210">
        <v>0</v>
      </c>
      <c r="BE210">
        <v>0</v>
      </c>
      <c r="BF210">
        <v>9.0572916440956594E-2</v>
      </c>
      <c r="BG210">
        <v>0.29009707827544201</v>
      </c>
      <c r="BH210">
        <v>1.7366678117707199</v>
      </c>
      <c r="BI210">
        <v>0</v>
      </c>
      <c r="BJ210">
        <v>2.0267648900461599</v>
      </c>
      <c r="BK210">
        <v>7.8520146653117004E-2</v>
      </c>
      <c r="BL210">
        <v>4.6784722733237598E-3</v>
      </c>
      <c r="BM210">
        <v>0</v>
      </c>
      <c r="BN210">
        <v>8.3198618926440801E-2</v>
      </c>
      <c r="BO210">
        <v>1.61778908183703</v>
      </c>
      <c r="BP210">
        <v>784.85417164257899</v>
      </c>
    </row>
    <row r="211" spans="1:68" x14ac:dyDescent="0.25">
      <c r="A211" t="s">
        <v>106</v>
      </c>
      <c r="M211" s="75">
        <f>SUM(M204:M210)*453.6*2000/SUM($H$204:$H$210)</f>
        <v>0.60061728799350766</v>
      </c>
      <c r="Q211" s="74">
        <f>SUM(Q204:Q210)*453.6*2000/SUM($H$204:$H$210)</f>
        <v>5.1223348632782918E-3</v>
      </c>
      <c r="X211" s="74">
        <f>SUM(X204:X210)*453.6*2000/SUM($H$204:$H$210)</f>
        <v>5.3539441157714196E-3</v>
      </c>
      <c r="AE211" s="73">
        <f>SUM(AE204:AE210)*453.6*2000/SUM($H$204:$H$210)</f>
        <v>1107.4508434643164</v>
      </c>
      <c r="AI211" s="74">
        <f>SUM(AI204:AI210)*453.6*2000/SUM($H$204:$H$210)</f>
        <v>3.2785391709929697E-4</v>
      </c>
      <c r="AM211" s="74">
        <f>SUM(AM204:AM210)*453.6*2000/SUM($H$204:$H$210)</f>
        <v>0.17447933138513974</v>
      </c>
    </row>
    <row r="212" spans="1:68" x14ac:dyDescent="0.25">
      <c r="A212" t="s">
        <v>283</v>
      </c>
      <c r="N212" s="75">
        <f>SUM(N204:N210)*453.6*2000/SUM($G$204:$G$210)/312</f>
        <v>9.6808240290963194</v>
      </c>
      <c r="R212" s="74">
        <f>SUM(R204:R210)*453.6*2000/SUM($G$204:$G$210)/312</f>
        <v>2.3002068220416231E-3</v>
      </c>
      <c r="Y212" s="74">
        <f>SUM(Y204:Y210)*453.6*2000/SUM($G$204:$G$210)/312</f>
        <v>2.4042119675177446E-3</v>
      </c>
      <c r="AF212" s="73">
        <f>SUM(AF204:AF210)*453.6*2000/SUM($G$204:$G$210)/312</f>
        <v>2093.3973330726826</v>
      </c>
      <c r="AJ212" s="74">
        <f>SUM(AJ204:AJ210)*453.6*2000/SUM($G$204:$G$210)/312</f>
        <v>7.750089119397092E-3</v>
      </c>
      <c r="AN212" s="74">
        <f>SUM(AN204:AN210)*453.6*2000/SUM($G$204:$G$210)/312</f>
        <v>0.32981560233894563</v>
      </c>
    </row>
    <row r="213" spans="1:68" x14ac:dyDescent="0.25">
      <c r="A213" t="s">
        <v>320</v>
      </c>
      <c r="H213">
        <f>SUM(H204:H210)/SUM(G204:G210)</f>
        <v>9106.3830883443898</v>
      </c>
      <c r="BP213" s="74">
        <f>SUM(H204:H210)/(SUM(BP204:BP210)*1000)</f>
        <v>8.6125088452513818</v>
      </c>
    </row>
  </sheetData>
  <phoneticPr fontId="6"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C21FA-E015-42C6-AE72-B56E4C0F4E94}">
  <dimension ref="A2:B183"/>
  <sheetViews>
    <sheetView workbookViewId="0">
      <selection activeCell="A2" sqref="A2"/>
    </sheetView>
  </sheetViews>
  <sheetFormatPr defaultRowHeight="15" x14ac:dyDescent="0.25"/>
  <sheetData>
    <row r="2" spans="1:1" x14ac:dyDescent="0.25">
      <c r="A2" s="141"/>
    </row>
    <row r="3" spans="1:1" ht="15.75" x14ac:dyDescent="0.25">
      <c r="A3" s="144" t="s">
        <v>441</v>
      </c>
    </row>
    <row r="7" spans="1:1" x14ac:dyDescent="0.25">
      <c r="A7" s="137" t="s">
        <v>342</v>
      </c>
    </row>
    <row r="8" spans="1:1" x14ac:dyDescent="0.25">
      <c r="A8" s="137"/>
    </row>
    <row r="9" spans="1:1" x14ac:dyDescent="0.25">
      <c r="A9" s="142" t="s">
        <v>375</v>
      </c>
    </row>
    <row r="10" spans="1:1" x14ac:dyDescent="0.25">
      <c r="A10" s="140" t="s">
        <v>372</v>
      </c>
    </row>
    <row r="11" spans="1:1" x14ac:dyDescent="0.25">
      <c r="A11" s="138" t="s">
        <v>373</v>
      </c>
    </row>
    <row r="12" spans="1:1" x14ac:dyDescent="0.25">
      <c r="A12" s="140" t="s">
        <v>374</v>
      </c>
    </row>
    <row r="13" spans="1:1" x14ac:dyDescent="0.25">
      <c r="A13" s="142" t="s">
        <v>376</v>
      </c>
    </row>
    <row r="14" spans="1:1" x14ac:dyDescent="0.25">
      <c r="A14" s="142" t="s">
        <v>377</v>
      </c>
    </row>
    <row r="15" spans="1:1" x14ac:dyDescent="0.25">
      <c r="A15" s="142" t="s">
        <v>341</v>
      </c>
    </row>
    <row r="16" spans="1:1" x14ac:dyDescent="0.25">
      <c r="A16" s="142" t="s">
        <v>340</v>
      </c>
    </row>
    <row r="17" spans="1:1" x14ac:dyDescent="0.25">
      <c r="A17" s="140" t="s">
        <v>335</v>
      </c>
    </row>
    <row r="18" spans="1:1" x14ac:dyDescent="0.25">
      <c r="A18" s="142" t="s">
        <v>337</v>
      </c>
    </row>
    <row r="19" spans="1:1" x14ac:dyDescent="0.25">
      <c r="A19" s="139" t="s">
        <v>339</v>
      </c>
    </row>
    <row r="24" spans="1:1" x14ac:dyDescent="0.25">
      <c r="A24" s="138" t="s">
        <v>383</v>
      </c>
    </row>
    <row r="25" spans="1:1" x14ac:dyDescent="0.25">
      <c r="A25" s="138"/>
    </row>
    <row r="26" spans="1:1" x14ac:dyDescent="0.25">
      <c r="A26" s="140" t="s">
        <v>382</v>
      </c>
    </row>
    <row r="27" spans="1:1" x14ac:dyDescent="0.25">
      <c r="A27" s="138" t="s">
        <v>381</v>
      </c>
    </row>
    <row r="28" spans="1:1" x14ac:dyDescent="0.25">
      <c r="A28" s="140" t="s">
        <v>380</v>
      </c>
    </row>
    <row r="29" spans="1:1" x14ac:dyDescent="0.25">
      <c r="A29" s="142" t="s">
        <v>376</v>
      </c>
    </row>
    <row r="30" spans="1:1" x14ac:dyDescent="0.25">
      <c r="A30" s="142" t="s">
        <v>379</v>
      </c>
    </row>
    <row r="31" spans="1:1" x14ac:dyDescent="0.25">
      <c r="A31" s="140" t="s">
        <v>334</v>
      </c>
    </row>
    <row r="32" spans="1:1" x14ac:dyDescent="0.25">
      <c r="A32" s="140" t="s">
        <v>329</v>
      </c>
    </row>
    <row r="33" spans="1:1" x14ac:dyDescent="0.25">
      <c r="A33" s="140" t="s">
        <v>330</v>
      </c>
    </row>
    <row r="38" spans="1:1" x14ac:dyDescent="0.25">
      <c r="A38" s="138" t="s">
        <v>383</v>
      </c>
    </row>
    <row r="39" spans="1:1" x14ac:dyDescent="0.25">
      <c r="A39" s="138"/>
    </row>
    <row r="40" spans="1:1" x14ac:dyDescent="0.25">
      <c r="A40" s="140" t="s">
        <v>385</v>
      </c>
    </row>
    <row r="41" spans="1:1" x14ac:dyDescent="0.25">
      <c r="A41" s="138" t="s">
        <v>381</v>
      </c>
    </row>
    <row r="42" spans="1:1" x14ac:dyDescent="0.25">
      <c r="A42" s="140" t="s">
        <v>380</v>
      </c>
    </row>
    <row r="43" spans="1:1" x14ac:dyDescent="0.25">
      <c r="A43" s="142" t="s">
        <v>376</v>
      </c>
    </row>
    <row r="44" spans="1:1" x14ac:dyDescent="0.25">
      <c r="A44" s="142" t="s">
        <v>379</v>
      </c>
    </row>
    <row r="45" spans="1:1" x14ac:dyDescent="0.25">
      <c r="A45" s="140" t="s">
        <v>334</v>
      </c>
    </row>
    <row r="46" spans="1:1" x14ac:dyDescent="0.25">
      <c r="A46" s="140" t="s">
        <v>333</v>
      </c>
    </row>
    <row r="47" spans="1:1" x14ac:dyDescent="0.25">
      <c r="A47" s="140" t="s">
        <v>331</v>
      </c>
    </row>
    <row r="48" spans="1:1" x14ac:dyDescent="0.25">
      <c r="A48" s="142" t="s">
        <v>386</v>
      </c>
    </row>
    <row r="50" spans="1:2" x14ac:dyDescent="0.25">
      <c r="A50" s="141" t="s">
        <v>443</v>
      </c>
    </row>
    <row r="53" spans="1:2" ht="15.75" x14ac:dyDescent="0.25">
      <c r="A53" s="144" t="s">
        <v>438</v>
      </c>
    </row>
    <row r="54" spans="1:2" x14ac:dyDescent="0.25">
      <c r="A54" s="138"/>
    </row>
    <row r="55" spans="1:2" x14ac:dyDescent="0.25">
      <c r="A55" s="140"/>
      <c r="B55" s="140"/>
    </row>
    <row r="56" spans="1:2" x14ac:dyDescent="0.25">
      <c r="A56" s="138"/>
    </row>
    <row r="57" spans="1:2" x14ac:dyDescent="0.25">
      <c r="A57" s="138" t="s">
        <v>326</v>
      </c>
    </row>
    <row r="58" spans="1:2" x14ac:dyDescent="0.25">
      <c r="A58" s="138"/>
    </row>
    <row r="59" spans="1:2" x14ac:dyDescent="0.25">
      <c r="A59" s="140" t="s">
        <v>378</v>
      </c>
    </row>
    <row r="60" spans="1:2" x14ac:dyDescent="0.25">
      <c r="A60" s="140" t="s">
        <v>327</v>
      </c>
    </row>
    <row r="61" spans="1:2" x14ac:dyDescent="0.25">
      <c r="A61" s="140" t="s">
        <v>328</v>
      </c>
    </row>
    <row r="62" spans="1:2" x14ac:dyDescent="0.25">
      <c r="A62" s="140" t="s">
        <v>329</v>
      </c>
    </row>
    <row r="63" spans="1:2" x14ac:dyDescent="0.25">
      <c r="A63" s="140" t="s">
        <v>330</v>
      </c>
    </row>
    <row r="64" spans="1:2" x14ac:dyDescent="0.25">
      <c r="A64" s="138"/>
    </row>
    <row r="65" spans="1:2" x14ac:dyDescent="0.25">
      <c r="A65" s="138"/>
    </row>
    <row r="66" spans="1:2" x14ac:dyDescent="0.25">
      <c r="A66" s="140"/>
      <c r="B66" s="140"/>
    </row>
    <row r="67" spans="1:2" x14ac:dyDescent="0.25">
      <c r="A67" s="138"/>
    </row>
    <row r="68" spans="1:2" x14ac:dyDescent="0.25">
      <c r="A68" s="138" t="s">
        <v>326</v>
      </c>
    </row>
    <row r="69" spans="1:2" x14ac:dyDescent="0.25">
      <c r="A69" s="138"/>
    </row>
    <row r="70" spans="1:2" x14ac:dyDescent="0.25">
      <c r="A70" s="140" t="s">
        <v>384</v>
      </c>
    </row>
    <row r="71" spans="1:2" x14ac:dyDescent="0.25">
      <c r="A71" s="140" t="s">
        <v>327</v>
      </c>
    </row>
    <row r="72" spans="1:2" x14ac:dyDescent="0.25">
      <c r="A72" s="140" t="s">
        <v>331</v>
      </c>
    </row>
    <row r="73" spans="1:2" x14ac:dyDescent="0.25">
      <c r="A73" s="140" t="s">
        <v>330</v>
      </c>
    </row>
    <row r="74" spans="1:2" x14ac:dyDescent="0.25">
      <c r="A74" s="140"/>
    </row>
    <row r="75" spans="1:2" x14ac:dyDescent="0.25">
      <c r="A75" s="141" t="s">
        <v>442</v>
      </c>
    </row>
    <row r="76" spans="1:2" x14ac:dyDescent="0.25">
      <c r="A76" s="141"/>
    </row>
    <row r="77" spans="1:2" x14ac:dyDescent="0.25">
      <c r="A77" s="141"/>
    </row>
    <row r="78" spans="1:2" x14ac:dyDescent="0.25">
      <c r="A78" s="143"/>
    </row>
    <row r="80" spans="1:2" x14ac:dyDescent="0.25">
      <c r="A80" s="137" t="s">
        <v>342</v>
      </c>
    </row>
    <row r="81" spans="1:1" x14ac:dyDescent="0.25">
      <c r="A81" s="137"/>
    </row>
    <row r="82" spans="1:1" x14ac:dyDescent="0.25">
      <c r="A82" s="142" t="s">
        <v>352</v>
      </c>
    </row>
    <row r="83" spans="1:1" x14ac:dyDescent="0.25">
      <c r="A83" s="140" t="s">
        <v>332</v>
      </c>
    </row>
    <row r="84" spans="1:1" x14ac:dyDescent="0.25">
      <c r="A84" s="140" t="s">
        <v>333</v>
      </c>
    </row>
    <row r="85" spans="1:1" x14ac:dyDescent="0.25">
      <c r="A85" s="140" t="s">
        <v>334</v>
      </c>
    </row>
    <row r="86" spans="1:1" x14ac:dyDescent="0.25">
      <c r="A86" s="140" t="s">
        <v>335</v>
      </c>
    </row>
    <row r="87" spans="1:1" x14ac:dyDescent="0.25">
      <c r="A87" s="142" t="s">
        <v>341</v>
      </c>
    </row>
    <row r="88" spans="1:1" x14ac:dyDescent="0.25">
      <c r="A88" s="142" t="s">
        <v>340</v>
      </c>
    </row>
    <row r="89" spans="1:1" x14ac:dyDescent="0.25">
      <c r="A89" s="142" t="s">
        <v>337</v>
      </c>
    </row>
    <row r="90" spans="1:1" x14ac:dyDescent="0.25">
      <c r="A90" s="140" t="s">
        <v>336</v>
      </c>
    </row>
    <row r="91" spans="1:1" x14ac:dyDescent="0.25">
      <c r="A91" s="140"/>
    </row>
    <row r="92" spans="1:1" x14ac:dyDescent="0.25">
      <c r="A92" s="141" t="s">
        <v>416</v>
      </c>
    </row>
    <row r="93" spans="1:1" x14ac:dyDescent="0.25">
      <c r="A93" s="140"/>
    </row>
    <row r="95" spans="1:1" ht="15.75" x14ac:dyDescent="0.25">
      <c r="A95" s="144" t="s">
        <v>439</v>
      </c>
    </row>
    <row r="99" spans="1:1" x14ac:dyDescent="0.25">
      <c r="A99" s="138" t="s">
        <v>326</v>
      </c>
    </row>
    <row r="100" spans="1:1" x14ac:dyDescent="0.25">
      <c r="A100" s="138"/>
    </row>
    <row r="101" spans="1:1" x14ac:dyDescent="0.25">
      <c r="A101" s="140" t="s">
        <v>343</v>
      </c>
    </row>
    <row r="102" spans="1:1" x14ac:dyDescent="0.25">
      <c r="A102" s="140" t="s">
        <v>344</v>
      </c>
    </row>
    <row r="103" spans="1:1" x14ac:dyDescent="0.25">
      <c r="A103" s="140" t="s">
        <v>345</v>
      </c>
    </row>
    <row r="104" spans="1:1" x14ac:dyDescent="0.25">
      <c r="A104" s="140" t="s">
        <v>346</v>
      </c>
    </row>
    <row r="105" spans="1:1" x14ac:dyDescent="0.25">
      <c r="A105" s="140" t="s">
        <v>347</v>
      </c>
    </row>
    <row r="106" spans="1:1" x14ac:dyDescent="0.25">
      <c r="A106" s="140" t="s">
        <v>348</v>
      </c>
    </row>
    <row r="107" spans="1:1" x14ac:dyDescent="0.25">
      <c r="A107" s="140" t="s">
        <v>349</v>
      </c>
    </row>
    <row r="108" spans="1:1" x14ac:dyDescent="0.25">
      <c r="A108" s="140" t="s">
        <v>330</v>
      </c>
    </row>
    <row r="113" spans="1:1" x14ac:dyDescent="0.25">
      <c r="A113" s="137" t="s">
        <v>353</v>
      </c>
    </row>
    <row r="114" spans="1:1" x14ac:dyDescent="0.25">
      <c r="A114" s="137"/>
    </row>
    <row r="115" spans="1:1" x14ac:dyDescent="0.25">
      <c r="A115" s="142" t="s">
        <v>391</v>
      </c>
    </row>
    <row r="116" spans="1:1" x14ac:dyDescent="0.25">
      <c r="A116" s="140" t="s">
        <v>344</v>
      </c>
    </row>
    <row r="117" spans="1:1" x14ac:dyDescent="0.25">
      <c r="A117" s="140" t="s">
        <v>345</v>
      </c>
    </row>
    <row r="118" spans="1:1" x14ac:dyDescent="0.25">
      <c r="A118" s="140" t="s">
        <v>346</v>
      </c>
    </row>
    <row r="119" spans="1:1" x14ac:dyDescent="0.25">
      <c r="A119" s="140" t="s">
        <v>347</v>
      </c>
    </row>
    <row r="120" spans="1:1" x14ac:dyDescent="0.25">
      <c r="A120" s="142" t="s">
        <v>350</v>
      </c>
    </row>
    <row r="121" spans="1:1" x14ac:dyDescent="0.25">
      <c r="A121" s="142" t="s">
        <v>351</v>
      </c>
    </row>
    <row r="122" spans="1:1" x14ac:dyDescent="0.25">
      <c r="A122" s="142" t="s">
        <v>387</v>
      </c>
    </row>
    <row r="123" spans="1:1" x14ac:dyDescent="0.25">
      <c r="A123" s="142" t="s">
        <v>388</v>
      </c>
    </row>
    <row r="124" spans="1:1" x14ac:dyDescent="0.25">
      <c r="A124" s="142" t="s">
        <v>338</v>
      </c>
    </row>
    <row r="125" spans="1:1" x14ac:dyDescent="0.25">
      <c r="A125" s="142" t="s">
        <v>368</v>
      </c>
    </row>
    <row r="126" spans="1:1" ht="17.25" x14ac:dyDescent="0.25">
      <c r="A126" s="142" t="s">
        <v>389</v>
      </c>
    </row>
    <row r="127" spans="1:1" x14ac:dyDescent="0.25">
      <c r="A127" s="140" t="s">
        <v>336</v>
      </c>
    </row>
    <row r="132" spans="1:1" x14ac:dyDescent="0.25">
      <c r="A132" s="138" t="s">
        <v>326</v>
      </c>
    </row>
    <row r="133" spans="1:1" x14ac:dyDescent="0.25">
      <c r="A133" s="138"/>
    </row>
    <row r="134" spans="1:1" x14ac:dyDescent="0.25">
      <c r="A134" s="140" t="s">
        <v>392</v>
      </c>
    </row>
    <row r="135" spans="1:1" x14ac:dyDescent="0.25">
      <c r="A135" s="140" t="s">
        <v>354</v>
      </c>
    </row>
    <row r="136" spans="1:1" x14ac:dyDescent="0.25">
      <c r="A136" s="140" t="s">
        <v>355</v>
      </c>
    </row>
    <row r="137" spans="1:1" x14ac:dyDescent="0.25">
      <c r="A137" s="139" t="s">
        <v>357</v>
      </c>
    </row>
    <row r="139" spans="1:1" x14ac:dyDescent="0.25">
      <c r="A139" s="141"/>
    </row>
    <row r="140" spans="1:1" x14ac:dyDescent="0.25">
      <c r="A140" s="141"/>
    </row>
    <row r="141" spans="1:1" ht="15.75" x14ac:dyDescent="0.25">
      <c r="A141" s="144" t="s">
        <v>440</v>
      </c>
    </row>
    <row r="145" spans="1:1" x14ac:dyDescent="0.25">
      <c r="A145" s="138" t="s">
        <v>326</v>
      </c>
    </row>
    <row r="146" spans="1:1" x14ac:dyDescent="0.25">
      <c r="A146" s="138"/>
    </row>
    <row r="147" spans="1:1" x14ac:dyDescent="0.25">
      <c r="A147" s="140" t="s">
        <v>358</v>
      </c>
    </row>
    <row r="148" spans="1:1" x14ac:dyDescent="0.25">
      <c r="A148" s="140" t="s">
        <v>359</v>
      </c>
    </row>
    <row r="149" spans="1:1" x14ac:dyDescent="0.25">
      <c r="A149" s="140" t="s">
        <v>360</v>
      </c>
    </row>
    <row r="150" spans="1:1" x14ac:dyDescent="0.25">
      <c r="A150" s="140" t="s">
        <v>361</v>
      </c>
    </row>
    <row r="151" spans="1:1" x14ac:dyDescent="0.25">
      <c r="A151" s="140" t="s">
        <v>330</v>
      </c>
    </row>
    <row r="156" spans="1:1" x14ac:dyDescent="0.25">
      <c r="A156" s="137" t="s">
        <v>353</v>
      </c>
    </row>
    <row r="157" spans="1:1" x14ac:dyDescent="0.25">
      <c r="A157" s="137"/>
    </row>
    <row r="158" spans="1:1" x14ac:dyDescent="0.25">
      <c r="A158" s="142" t="s">
        <v>366</v>
      </c>
    </row>
    <row r="159" spans="1:1" x14ac:dyDescent="0.25">
      <c r="A159" s="140" t="s">
        <v>362</v>
      </c>
    </row>
    <row r="160" spans="1:1" x14ac:dyDescent="0.25">
      <c r="A160" s="140" t="s">
        <v>360</v>
      </c>
    </row>
    <row r="161" spans="1:1" x14ac:dyDescent="0.25">
      <c r="A161" s="140" t="s">
        <v>363</v>
      </c>
    </row>
    <row r="162" spans="1:1" x14ac:dyDescent="0.25">
      <c r="A162" s="140" t="s">
        <v>364</v>
      </c>
    </row>
    <row r="163" spans="1:1" x14ac:dyDescent="0.25">
      <c r="A163" s="140" t="s">
        <v>365</v>
      </c>
    </row>
    <row r="164" spans="1:1" x14ac:dyDescent="0.25">
      <c r="A164" s="142" t="s">
        <v>390</v>
      </c>
    </row>
    <row r="165" spans="1:1" x14ac:dyDescent="0.25">
      <c r="A165" s="142" t="s">
        <v>340</v>
      </c>
    </row>
    <row r="166" spans="1:1" ht="17.25" x14ac:dyDescent="0.25">
      <c r="A166" s="142" t="s">
        <v>367</v>
      </c>
    </row>
    <row r="167" spans="1:1" x14ac:dyDescent="0.25">
      <c r="A167" s="140" t="s">
        <v>336</v>
      </c>
    </row>
    <row r="168" spans="1:1" x14ac:dyDescent="0.25">
      <c r="A168" s="140"/>
    </row>
    <row r="172" spans="1:1" x14ac:dyDescent="0.25">
      <c r="A172" s="138" t="s">
        <v>326</v>
      </c>
    </row>
    <row r="173" spans="1:1" x14ac:dyDescent="0.25">
      <c r="A173" s="138"/>
    </row>
    <row r="174" spans="1:1" x14ac:dyDescent="0.25">
      <c r="A174" s="140" t="s">
        <v>393</v>
      </c>
    </row>
    <row r="175" spans="1:1" x14ac:dyDescent="0.25">
      <c r="A175" s="140" t="s">
        <v>369</v>
      </c>
    </row>
    <row r="176" spans="1:1" x14ac:dyDescent="0.25">
      <c r="A176" s="140" t="s">
        <v>360</v>
      </c>
    </row>
    <row r="177" spans="1:1" x14ac:dyDescent="0.25">
      <c r="A177" s="140" t="s">
        <v>370</v>
      </c>
    </row>
    <row r="178" spans="1:1" x14ac:dyDescent="0.25">
      <c r="A178" s="140" t="s">
        <v>371</v>
      </c>
    </row>
    <row r="179" spans="1:1" x14ac:dyDescent="0.25">
      <c r="A179" s="140" t="s">
        <v>356</v>
      </c>
    </row>
    <row r="181" spans="1:1" x14ac:dyDescent="0.25">
      <c r="A181" s="141" t="s">
        <v>416</v>
      </c>
    </row>
    <row r="182" spans="1:1" x14ac:dyDescent="0.25">
      <c r="A182" s="141"/>
    </row>
    <row r="183" spans="1:1" x14ac:dyDescent="0.25">
      <c r="A183" s="140"/>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Summary of Emission Reductions</vt:lpstr>
      <vt:lpstr>Number of ZE Units</vt:lpstr>
      <vt:lpstr>Measure M1 - ZE Chargers</vt:lpstr>
      <vt:lpstr>Measure M2 - ZE Trucks</vt:lpstr>
      <vt:lpstr>Measure M3 - ZE CHE</vt:lpstr>
      <vt:lpstr>Measure M4 - ZE Switchers</vt:lpstr>
      <vt:lpstr>CHE EF </vt:lpstr>
      <vt:lpstr>EMFAC Model Results</vt:lpstr>
      <vt:lpstr>Calculation Equations</vt:lpstr>
      <vt:lpstr>OFFROAD Model</vt:lpstr>
      <vt:lpstr>'Calculation Equations'!_Hlk161506218</vt:lpstr>
      <vt:lpstr>'Calculation Equations'!OLE_LINK1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Zorik Pirveysian</dc:creator>
  <cp:lastModifiedBy>Fan Xu</cp:lastModifiedBy>
  <dcterms:created xsi:type="dcterms:W3CDTF">2024-02-22T23:33:06Z</dcterms:created>
  <dcterms:modified xsi:type="dcterms:W3CDTF">2024-03-29T16:47:41Z</dcterms:modified>
</cp:coreProperties>
</file>