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balanceyourworld907-my.sharepoint.com/personal/stephanie_balanceyourworld907_onmicrosoft_com/Documents/Desktop/Southeast Conference/Grants &amp; Contracts/EPA - CPRG/Budgets/"/>
    </mc:Choice>
  </mc:AlternateContent>
  <xr:revisionPtr revIDLastSave="926" documentId="8_{B4CBEAE6-3B07-47EB-AC91-4CE698F686B4}" xr6:coauthVersionLast="47" xr6:coauthVersionMax="47" xr10:uidLastSave="{97796A99-D0F3-408E-A1FD-F6A96C08355D}"/>
  <bookViews>
    <workbookView xWindow="-56040" yWindow="1560" windowWidth="21600" windowHeight="11295" tabRatio="915" xr2:uid="{00000000-000D-0000-FFFF-FFFF00000000}"/>
  </bookViews>
  <sheets>
    <sheet name="Budget Overview" sheetId="1" r:id="rId1"/>
    <sheet name="Budget Narrative" sheetId="7" r:id="rId2"/>
    <sheet name="Staffing" sheetId="14" r:id="rId3"/>
    <sheet name="Travel detail" sheetId="13" r:id="rId4"/>
    <sheet name="Sub 1 (AHS)" sheetId="16" r:id="rId5"/>
    <sheet name="Sub 2 AML" sheetId="17" r:id="rId6"/>
  </sheets>
  <externalReferences>
    <externalReference r:id="rId7"/>
  </externalReferences>
  <definedNames>
    <definedName name="cash_list">'Budget Narrative'!$G$200:$G$201</definedName>
    <definedName name="match_list">'Budget Narrative'!$G$200:$G$202</definedName>
    <definedName name="_xlnm.Print_Area" localSheetId="1">'Budget Narrative'!#REF!</definedName>
    <definedName name="_xlnm.Print_Area" localSheetId="0">'Budget Overview'!$C$1:$P$27</definedName>
    <definedName name="_xlnm.Print_Area" localSheetId="2">Staffing!$A$1:$L$5</definedName>
    <definedName name="program_list">'Budget Narrative'!$G$193:$G$195</definedName>
    <definedName name="sub">'Budget Narrative'!$G$203:$G$204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7" l="1"/>
  <c r="I56" i="7"/>
  <c r="J56" i="7"/>
  <c r="K56" i="7"/>
  <c r="L56" i="7"/>
  <c r="M56" i="7"/>
  <c r="N56" i="7"/>
  <c r="O56" i="7"/>
  <c r="P56" i="7"/>
  <c r="G56" i="7"/>
  <c r="H55" i="7"/>
  <c r="I55" i="7"/>
  <c r="J55" i="7"/>
  <c r="K55" i="7"/>
  <c r="L55" i="7"/>
  <c r="M55" i="7"/>
  <c r="N55" i="7"/>
  <c r="O55" i="7"/>
  <c r="P55" i="7"/>
  <c r="G55" i="7"/>
  <c r="N50" i="14"/>
  <c r="O65" i="7"/>
  <c r="M65" i="7"/>
  <c r="K65" i="7"/>
  <c r="I65" i="7"/>
  <c r="G65" i="7"/>
  <c r="F63" i="7"/>
  <c r="E48" i="16" l="1"/>
  <c r="E43" i="16"/>
  <c r="E42" i="16"/>
  <c r="N40" i="14" l="1"/>
  <c r="N30" i="14"/>
  <c r="N20" i="14"/>
  <c r="E9" i="17"/>
  <c r="F9" i="17"/>
  <c r="G9" i="17"/>
  <c r="H9" i="17"/>
  <c r="I9" i="17"/>
  <c r="J9" i="17"/>
  <c r="K9" i="17"/>
  <c r="L9" i="17"/>
  <c r="M9" i="17"/>
  <c r="N9" i="17"/>
  <c r="E10" i="17"/>
  <c r="F10" i="17"/>
  <c r="G10" i="17"/>
  <c r="H10" i="17"/>
  <c r="I10" i="17"/>
  <c r="J10" i="17"/>
  <c r="K10" i="17"/>
  <c r="L10" i="17"/>
  <c r="M10" i="17"/>
  <c r="N10" i="17"/>
  <c r="C12" i="17"/>
  <c r="E13" i="17"/>
  <c r="F13" i="17"/>
  <c r="J13" i="17"/>
  <c r="K13" i="17"/>
  <c r="L13" i="17"/>
  <c r="M13" i="17"/>
  <c r="N13" i="17"/>
  <c r="C15" i="17"/>
  <c r="E16" i="17"/>
  <c r="F16" i="17"/>
  <c r="G16" i="17"/>
  <c r="M16" i="17"/>
  <c r="N16" i="17"/>
  <c r="E27" i="17"/>
  <c r="F27" i="17"/>
  <c r="G27" i="17"/>
  <c r="H27" i="17"/>
  <c r="I27" i="17"/>
  <c r="I75" i="17" s="1"/>
  <c r="I18" i="17" s="1"/>
  <c r="J27" i="17"/>
  <c r="K27" i="17"/>
  <c r="L27" i="17"/>
  <c r="M27" i="17"/>
  <c r="N27" i="17"/>
  <c r="E37" i="17"/>
  <c r="E11" i="17" s="1"/>
  <c r="F37" i="17"/>
  <c r="F11" i="17" s="1"/>
  <c r="G37" i="17"/>
  <c r="G11" i="17" s="1"/>
  <c r="H37" i="17"/>
  <c r="H11" i="17" s="1"/>
  <c r="I37" i="17"/>
  <c r="I11" i="17" s="1"/>
  <c r="J37" i="17"/>
  <c r="J11" i="17" s="1"/>
  <c r="K37" i="17"/>
  <c r="K11" i="17" s="1"/>
  <c r="L37" i="17"/>
  <c r="L11" i="17" s="1"/>
  <c r="M37" i="17"/>
  <c r="M11" i="17" s="1"/>
  <c r="N37" i="17"/>
  <c r="N11" i="17" s="1"/>
  <c r="E50" i="17"/>
  <c r="F50" i="17"/>
  <c r="G50" i="17"/>
  <c r="G13" i="17" s="1"/>
  <c r="H50" i="17"/>
  <c r="H13" i="17" s="1"/>
  <c r="I50" i="17"/>
  <c r="I13" i="17" s="1"/>
  <c r="J50" i="17"/>
  <c r="K50" i="17"/>
  <c r="L50" i="17"/>
  <c r="M50" i="17"/>
  <c r="N50" i="17"/>
  <c r="E62" i="17"/>
  <c r="F62" i="17"/>
  <c r="F14" i="17" s="1"/>
  <c r="G62" i="17"/>
  <c r="G14" i="17" s="1"/>
  <c r="H62" i="17"/>
  <c r="H14" i="17" s="1"/>
  <c r="I62" i="17"/>
  <c r="I14" i="17" s="1"/>
  <c r="J62" i="17"/>
  <c r="J14" i="17" s="1"/>
  <c r="K62" i="17"/>
  <c r="K14" i="17" s="1"/>
  <c r="L62" i="17"/>
  <c r="L14" i="17" s="1"/>
  <c r="M62" i="17"/>
  <c r="M14" i="17" s="1"/>
  <c r="N62" i="17"/>
  <c r="E70" i="17"/>
  <c r="F70" i="17"/>
  <c r="G70" i="17"/>
  <c r="H70" i="17"/>
  <c r="H16" i="17" s="1"/>
  <c r="I70" i="17"/>
  <c r="I16" i="17" s="1"/>
  <c r="J70" i="17"/>
  <c r="J16" i="17" s="1"/>
  <c r="K70" i="17"/>
  <c r="K16" i="17" s="1"/>
  <c r="L70" i="17"/>
  <c r="L16" i="17" s="1"/>
  <c r="M70" i="17"/>
  <c r="N70" i="17"/>
  <c r="H75" i="17"/>
  <c r="H18" i="17" s="1"/>
  <c r="G75" i="17" l="1"/>
  <c r="G18" i="17" s="1"/>
  <c r="L75" i="17"/>
  <c r="L18" i="17" s="1"/>
  <c r="K75" i="17"/>
  <c r="K18" i="17" s="1"/>
  <c r="J75" i="17"/>
  <c r="J18" i="17" s="1"/>
  <c r="N75" i="17"/>
  <c r="N18" i="17" s="1"/>
  <c r="E75" i="17"/>
  <c r="E18" i="17" s="1"/>
  <c r="C10" i="17"/>
  <c r="K17" i="17"/>
  <c r="J17" i="17"/>
  <c r="G17" i="17"/>
  <c r="G19" i="17" s="1"/>
  <c r="I17" i="17"/>
  <c r="I19" i="17" s="1"/>
  <c r="C16" i="17"/>
  <c r="C11" i="17"/>
  <c r="F17" i="17"/>
  <c r="C13" i="17"/>
  <c r="H17" i="17"/>
  <c r="H19" i="17" s="1"/>
  <c r="L17" i="17"/>
  <c r="L19" i="17" s="1"/>
  <c r="M17" i="17"/>
  <c r="F75" i="17"/>
  <c r="F18" i="17" s="1"/>
  <c r="M75" i="17"/>
  <c r="M18" i="17" s="1"/>
  <c r="C9" i="17"/>
  <c r="N14" i="17"/>
  <c r="N17" i="17" s="1"/>
  <c r="N19" i="17" s="1"/>
  <c r="E14" i="17"/>
  <c r="E17" i="17" s="1"/>
  <c r="K19" i="17" l="1"/>
  <c r="C18" i="17"/>
  <c r="E19" i="17"/>
  <c r="J19" i="17"/>
  <c r="F19" i="17"/>
  <c r="M19" i="17"/>
  <c r="F47" i="7" s="1"/>
  <c r="C14" i="17"/>
  <c r="C72" i="17" s="1"/>
  <c r="C74" i="17" s="1"/>
  <c r="C17" i="17" l="1"/>
  <c r="C19" i="17" s="1"/>
  <c r="C3" i="17" s="1"/>
  <c r="C5" i="17" l="1"/>
  <c r="C6" i="17" s="1"/>
  <c r="F27" i="16" l="1"/>
  <c r="G27" i="16"/>
  <c r="H27" i="16"/>
  <c r="I27" i="16"/>
  <c r="J27" i="16"/>
  <c r="K27" i="16"/>
  <c r="L27" i="16"/>
  <c r="M27" i="16"/>
  <c r="N27" i="16"/>
  <c r="E27" i="16"/>
  <c r="F37" i="16"/>
  <c r="G37" i="16"/>
  <c r="H37" i="16"/>
  <c r="I37" i="16"/>
  <c r="J37" i="16"/>
  <c r="J11" i="16" s="1"/>
  <c r="K37" i="16"/>
  <c r="L37" i="16"/>
  <c r="M37" i="16"/>
  <c r="N37" i="16"/>
  <c r="E37" i="16"/>
  <c r="F50" i="16"/>
  <c r="G50" i="16"/>
  <c r="H50" i="16"/>
  <c r="H13" i="16" s="1"/>
  <c r="I50" i="16"/>
  <c r="J50" i="16"/>
  <c r="J13" i="16" s="1"/>
  <c r="K50" i="16"/>
  <c r="L50" i="16"/>
  <c r="L13" i="16" s="1"/>
  <c r="M50" i="16"/>
  <c r="N50" i="16"/>
  <c r="E50" i="16"/>
  <c r="E62" i="16"/>
  <c r="E14" i="16" s="1"/>
  <c r="F70" i="16"/>
  <c r="G70" i="16"/>
  <c r="H70" i="16"/>
  <c r="H16" i="16" s="1"/>
  <c r="I70" i="16"/>
  <c r="J70" i="16"/>
  <c r="J16" i="16" s="1"/>
  <c r="K70" i="16"/>
  <c r="L70" i="16"/>
  <c r="L16" i="16" s="1"/>
  <c r="M70" i="16"/>
  <c r="N70" i="16"/>
  <c r="E70" i="16"/>
  <c r="F62" i="16"/>
  <c r="G62" i="16"/>
  <c r="H62" i="16"/>
  <c r="I62" i="16"/>
  <c r="I14" i="16" s="1"/>
  <c r="J62" i="16"/>
  <c r="J14" i="16" s="1"/>
  <c r="K62" i="16"/>
  <c r="K14" i="16" s="1"/>
  <c r="L62" i="16"/>
  <c r="L14" i="16" s="1"/>
  <c r="M62" i="16"/>
  <c r="M14" i="16" s="1"/>
  <c r="N62" i="16"/>
  <c r="E16" i="16"/>
  <c r="E67" i="16"/>
  <c r="G67" i="16"/>
  <c r="I67" i="16"/>
  <c r="K67" i="16"/>
  <c r="M67" i="16"/>
  <c r="E68" i="16"/>
  <c r="G68" i="16"/>
  <c r="I68" i="16"/>
  <c r="K68" i="16"/>
  <c r="M68" i="16"/>
  <c r="F16" i="16"/>
  <c r="N16" i="16"/>
  <c r="F14" i="16"/>
  <c r="G14" i="16"/>
  <c r="H14" i="16"/>
  <c r="N14" i="16"/>
  <c r="E44" i="16"/>
  <c r="E45" i="16"/>
  <c r="G45" i="16"/>
  <c r="G13" i="16" s="1"/>
  <c r="I45" i="16"/>
  <c r="I13" i="16" s="1"/>
  <c r="K45" i="16"/>
  <c r="M45" i="16"/>
  <c r="F13" i="16"/>
  <c r="N13" i="16"/>
  <c r="E32" i="16"/>
  <c r="K32" i="16" s="1"/>
  <c r="E33" i="16"/>
  <c r="G33" i="16" s="1"/>
  <c r="E34" i="16"/>
  <c r="G34" i="16" s="1"/>
  <c r="E35" i="16"/>
  <c r="M35" i="16" s="1"/>
  <c r="E36" i="16"/>
  <c r="M36" i="16"/>
  <c r="F11" i="16"/>
  <c r="H11" i="16"/>
  <c r="L11" i="16"/>
  <c r="N11" i="16"/>
  <c r="F10" i="16"/>
  <c r="H10" i="16"/>
  <c r="J10" i="16"/>
  <c r="L10" i="16"/>
  <c r="N10" i="16"/>
  <c r="F9" i="16"/>
  <c r="H9" i="16"/>
  <c r="J9" i="16"/>
  <c r="L9" i="16"/>
  <c r="N9" i="16"/>
  <c r="M13" i="16" l="1"/>
  <c r="H17" i="16"/>
  <c r="K13" i="16"/>
  <c r="J17" i="16"/>
  <c r="F17" i="16"/>
  <c r="N17" i="16"/>
  <c r="L17" i="16"/>
  <c r="K16" i="16"/>
  <c r="I35" i="16"/>
  <c r="I16" i="16"/>
  <c r="G16" i="16"/>
  <c r="M16" i="16"/>
  <c r="I33" i="16"/>
  <c r="I32" i="16"/>
  <c r="K35" i="16"/>
  <c r="G32" i="16"/>
  <c r="G35" i="16"/>
  <c r="M33" i="16"/>
  <c r="E13" i="16"/>
  <c r="K33" i="16"/>
  <c r="E11" i="16"/>
  <c r="M34" i="16"/>
  <c r="K34" i="16"/>
  <c r="M32" i="16"/>
  <c r="I34" i="16"/>
  <c r="I11" i="16" l="1"/>
  <c r="G11" i="16"/>
  <c r="M11" i="16"/>
  <c r="K11" i="16"/>
  <c r="F75" i="16" l="1"/>
  <c r="H75" i="16"/>
  <c r="J75" i="16"/>
  <c r="L75" i="16"/>
  <c r="N75" i="16"/>
  <c r="C11" i="16"/>
  <c r="C12" i="16"/>
  <c r="C13" i="16"/>
  <c r="C14" i="16"/>
  <c r="C15" i="16"/>
  <c r="C16" i="16"/>
  <c r="F18" i="16" l="1"/>
  <c r="F19" i="16" s="1"/>
  <c r="N18" i="16"/>
  <c r="N19" i="16" s="1"/>
  <c r="L18" i="16"/>
  <c r="L19" i="16" s="1"/>
  <c r="J18" i="16"/>
  <c r="J19" i="16" s="1"/>
  <c r="H18" i="16"/>
  <c r="H19" i="16" s="1"/>
  <c r="E9" i="16"/>
  <c r="G9" i="16" l="1"/>
  <c r="I9" i="16" l="1"/>
  <c r="E75" i="16" l="1"/>
  <c r="E18" i="16" s="1"/>
  <c r="E10" i="16"/>
  <c r="E17" i="16" s="1"/>
  <c r="K9" i="16"/>
  <c r="E19" i="16" l="1"/>
  <c r="G75" i="16"/>
  <c r="G10" i="16"/>
  <c r="G17" i="16" s="1"/>
  <c r="M9" i="16"/>
  <c r="C9" i="16" l="1"/>
  <c r="G18" i="16"/>
  <c r="I75" i="16"/>
  <c r="I10" i="16"/>
  <c r="I17" i="16" s="1"/>
  <c r="G19" i="16" l="1"/>
  <c r="I18" i="16"/>
  <c r="I19" i="16" s="1"/>
  <c r="K75" i="16"/>
  <c r="K18" i="16" s="1"/>
  <c r="K10" i="16"/>
  <c r="K17" i="16" s="1"/>
  <c r="K19" i="16" l="1"/>
  <c r="M75" i="16"/>
  <c r="M10" i="16"/>
  <c r="O41" i="7"/>
  <c r="M41" i="7"/>
  <c r="K41" i="7"/>
  <c r="I41" i="7"/>
  <c r="G41" i="7"/>
  <c r="G54" i="7"/>
  <c r="F54" i="7" s="1"/>
  <c r="G30" i="7"/>
  <c r="O32" i="7"/>
  <c r="M32" i="7"/>
  <c r="K32" i="7"/>
  <c r="I32" i="7"/>
  <c r="G32" i="7"/>
  <c r="J30" i="13"/>
  <c r="J29" i="13"/>
  <c r="J28" i="13"/>
  <c r="J27" i="13"/>
  <c r="J26" i="13"/>
  <c r="J22" i="13"/>
  <c r="J21" i="13"/>
  <c r="J20" i="13"/>
  <c r="J19" i="13"/>
  <c r="J18" i="13"/>
  <c r="J11" i="13"/>
  <c r="J12" i="13"/>
  <c r="J13" i="13"/>
  <c r="J14" i="13"/>
  <c r="J10" i="13"/>
  <c r="J6" i="13"/>
  <c r="O21" i="14"/>
  <c r="O20" i="14"/>
  <c r="I20" i="14"/>
  <c r="C52" i="14"/>
  <c r="B51" i="14"/>
  <c r="B52" i="14"/>
  <c r="J51" i="14"/>
  <c r="J52" i="14"/>
  <c r="J50" i="14"/>
  <c r="A51" i="14"/>
  <c r="A52" i="14"/>
  <c r="A53" i="14"/>
  <c r="A54" i="14"/>
  <c r="A55" i="14"/>
  <c r="A50" i="14"/>
  <c r="J41" i="14"/>
  <c r="J42" i="14"/>
  <c r="J40" i="14"/>
  <c r="A41" i="14"/>
  <c r="A42" i="14"/>
  <c r="A43" i="14"/>
  <c r="A44" i="14"/>
  <c r="A45" i="14"/>
  <c r="A40" i="14"/>
  <c r="J31" i="14"/>
  <c r="J32" i="14"/>
  <c r="J30" i="14"/>
  <c r="J21" i="14"/>
  <c r="J22" i="14"/>
  <c r="J20" i="14"/>
  <c r="C32" i="14"/>
  <c r="B31" i="14"/>
  <c r="B32" i="14"/>
  <c r="A31" i="14"/>
  <c r="A32" i="14"/>
  <c r="A33" i="14"/>
  <c r="A34" i="14"/>
  <c r="A35" i="14"/>
  <c r="A30" i="14"/>
  <c r="C22" i="14"/>
  <c r="B21" i="14"/>
  <c r="B22" i="14"/>
  <c r="A21" i="14"/>
  <c r="A22" i="14"/>
  <c r="A23" i="14"/>
  <c r="A24" i="14"/>
  <c r="A25" i="14"/>
  <c r="A20" i="14"/>
  <c r="N10" i="14"/>
  <c r="C10" i="14"/>
  <c r="J12" i="14"/>
  <c r="J11" i="14"/>
  <c r="J10" i="14"/>
  <c r="B10" i="14"/>
  <c r="C12" i="14"/>
  <c r="G12" i="14" s="1"/>
  <c r="F11" i="14"/>
  <c r="C11" i="14" s="1"/>
  <c r="G11" i="14" s="1"/>
  <c r="F12" i="14"/>
  <c r="F42" i="7"/>
  <c r="F43" i="7"/>
  <c r="F44" i="7"/>
  <c r="F45" i="7"/>
  <c r="F46" i="7"/>
  <c r="O44" i="7"/>
  <c r="M44" i="7"/>
  <c r="K44" i="7"/>
  <c r="I44" i="7"/>
  <c r="G44" i="7"/>
  <c r="G28" i="7"/>
  <c r="C10" i="16" l="1"/>
  <c r="C17" i="16" s="1"/>
  <c r="M17" i="16"/>
  <c r="M18" i="16"/>
  <c r="C72" i="16"/>
  <c r="C74" i="16" s="1"/>
  <c r="F41" i="7"/>
  <c r="O11" i="14"/>
  <c r="I11" i="14"/>
  <c r="H11" i="14"/>
  <c r="L11" i="14" s="1"/>
  <c r="O12" i="14"/>
  <c r="H12" i="14"/>
  <c r="I12" i="14"/>
  <c r="P11" i="14"/>
  <c r="M11" i="14"/>
  <c r="G49" i="7"/>
  <c r="G20" i="1" s="1"/>
  <c r="H24" i="1"/>
  <c r="J24" i="1"/>
  <c r="L24" i="1"/>
  <c r="N24" i="1"/>
  <c r="P24" i="1"/>
  <c r="D21" i="1"/>
  <c r="H16" i="1"/>
  <c r="J16" i="1"/>
  <c r="L16" i="1"/>
  <c r="N16" i="1"/>
  <c r="P16" i="1"/>
  <c r="H15" i="1"/>
  <c r="J15" i="1"/>
  <c r="L15" i="1"/>
  <c r="N15" i="1"/>
  <c r="P15" i="1"/>
  <c r="F40" i="7"/>
  <c r="F28" i="7"/>
  <c r="F30" i="7"/>
  <c r="F29" i="7"/>
  <c r="F32" i="7"/>
  <c r="F33" i="7"/>
  <c r="F34" i="7"/>
  <c r="F35" i="7"/>
  <c r="H18" i="7"/>
  <c r="H17" i="1" s="1"/>
  <c r="J18" i="7"/>
  <c r="J17" i="1" s="1"/>
  <c r="L18" i="7"/>
  <c r="L17" i="1" s="1"/>
  <c r="N18" i="7"/>
  <c r="N17" i="1" s="1"/>
  <c r="P18" i="7"/>
  <c r="P17" i="1" s="1"/>
  <c r="B41" i="14"/>
  <c r="B42" i="14"/>
  <c r="B20" i="14"/>
  <c r="B30" i="14" s="1"/>
  <c r="F52" i="14"/>
  <c r="F51" i="14"/>
  <c r="C51" i="14" s="1"/>
  <c r="F50" i="14"/>
  <c r="F42" i="14"/>
  <c r="F41" i="14"/>
  <c r="F40" i="14"/>
  <c r="F32" i="14"/>
  <c r="F31" i="14"/>
  <c r="C31" i="14" s="1"/>
  <c r="F30" i="14"/>
  <c r="F22" i="14"/>
  <c r="F21" i="14"/>
  <c r="C21" i="14" s="1"/>
  <c r="F20" i="14"/>
  <c r="F10" i="14"/>
  <c r="G10" i="14"/>
  <c r="O10" i="14" s="1"/>
  <c r="C5" i="14"/>
  <c r="E5" i="14"/>
  <c r="G5" i="14"/>
  <c r="I5" i="14"/>
  <c r="K5" i="14"/>
  <c r="M19" i="16" l="1"/>
  <c r="F48" i="7" s="1"/>
  <c r="F49" i="7" s="1"/>
  <c r="C18" i="16"/>
  <c r="C19" i="16" s="1"/>
  <c r="C3" i="16" s="1"/>
  <c r="C5" i="16" s="1"/>
  <c r="C6" i="16" s="1"/>
  <c r="L12" i="14"/>
  <c r="B40" i="14"/>
  <c r="C30" i="14"/>
  <c r="G30" i="14" s="1"/>
  <c r="O30" i="14" s="1"/>
  <c r="C42" i="14"/>
  <c r="G22" i="14"/>
  <c r="I22" i="14" s="1"/>
  <c r="F31" i="7"/>
  <c r="F36" i="7" s="1"/>
  <c r="G32" i="14"/>
  <c r="O32" i="14" s="1"/>
  <c r="G21" i="14"/>
  <c r="H10" i="14"/>
  <c r="C20" i="14"/>
  <c r="G20" i="14" s="1"/>
  <c r="I30" i="14"/>
  <c r="H30" i="14"/>
  <c r="O16" i="14"/>
  <c r="B3" i="14" s="1"/>
  <c r="I10" i="14"/>
  <c r="B16" i="7"/>
  <c r="B15" i="7"/>
  <c r="B14" i="7"/>
  <c r="B13" i="7"/>
  <c r="J36" i="13"/>
  <c r="J38" i="13" s="1"/>
  <c r="G17" i="7" s="1"/>
  <c r="J37" i="13"/>
  <c r="J15" i="13"/>
  <c r="G14" i="7" s="1"/>
  <c r="J4" i="13"/>
  <c r="J5" i="13"/>
  <c r="J3" i="13"/>
  <c r="F56" i="7"/>
  <c r="F57" i="7"/>
  <c r="N58" i="7"/>
  <c r="N22" i="1" s="1"/>
  <c r="M58" i="7"/>
  <c r="M22" i="1" s="1"/>
  <c r="N49" i="7"/>
  <c r="N20" i="1" s="1"/>
  <c r="M49" i="7"/>
  <c r="M20" i="1" s="1"/>
  <c r="N36" i="7"/>
  <c r="N19" i="1" s="1"/>
  <c r="M36" i="7"/>
  <c r="N24" i="7"/>
  <c r="N18" i="1" s="1"/>
  <c r="M24" i="7"/>
  <c r="M18" i="1" s="1"/>
  <c r="G24" i="7"/>
  <c r="G18" i="1" s="1"/>
  <c r="G36" i="7"/>
  <c r="F23" i="7"/>
  <c r="F22" i="7"/>
  <c r="M17" i="7" l="1"/>
  <c r="K17" i="7"/>
  <c r="I17" i="7"/>
  <c r="F17" i="7" s="1"/>
  <c r="O17" i="7"/>
  <c r="O14" i="7"/>
  <c r="K14" i="7"/>
  <c r="M14" i="7"/>
  <c r="I14" i="7"/>
  <c r="J7" i="13"/>
  <c r="G13" i="7" s="1"/>
  <c r="I13" i="7" s="1"/>
  <c r="H21" i="14"/>
  <c r="P12" i="14"/>
  <c r="P16" i="14" s="1"/>
  <c r="M12" i="14"/>
  <c r="L10" i="14"/>
  <c r="P10" i="14" s="1"/>
  <c r="O22" i="14"/>
  <c r="H22" i="14"/>
  <c r="L22" i="14" s="1"/>
  <c r="M22" i="14" s="1"/>
  <c r="I21" i="14"/>
  <c r="L21" i="14" s="1"/>
  <c r="H32" i="14"/>
  <c r="I32" i="14"/>
  <c r="G31" i="14"/>
  <c r="C41" i="14"/>
  <c r="G42" i="14"/>
  <c r="L30" i="14"/>
  <c r="M30" i="14" s="1"/>
  <c r="C40" i="14"/>
  <c r="B50" i="14"/>
  <c r="C50" i="14" s="1"/>
  <c r="N23" i="1"/>
  <c r="N25" i="1" s="1"/>
  <c r="M19" i="1"/>
  <c r="G19" i="1"/>
  <c r="H20" i="14"/>
  <c r="P15" i="14"/>
  <c r="F55" i="7"/>
  <c r="J31" i="13"/>
  <c r="G16" i="7" s="1"/>
  <c r="J23" i="13"/>
  <c r="G15" i="7" s="1"/>
  <c r="F24" i="7"/>
  <c r="O16" i="7" l="1"/>
  <c r="K16" i="7"/>
  <c r="M16" i="7"/>
  <c r="I16" i="7"/>
  <c r="O15" i="7"/>
  <c r="I15" i="7"/>
  <c r="K15" i="7"/>
  <c r="M15" i="7"/>
  <c r="F14" i="7"/>
  <c r="G18" i="7"/>
  <c r="K13" i="7"/>
  <c r="O13" i="7"/>
  <c r="M13" i="7"/>
  <c r="O26" i="14"/>
  <c r="P22" i="14"/>
  <c r="M10" i="14"/>
  <c r="L32" i="14"/>
  <c r="G50" i="14"/>
  <c r="K50" i="14"/>
  <c r="K52" i="14"/>
  <c r="G52" i="14"/>
  <c r="L20" i="14"/>
  <c r="P20" i="14" s="1"/>
  <c r="B4" i="14"/>
  <c r="G16" i="1" s="1"/>
  <c r="G41" i="14"/>
  <c r="G40" i="14"/>
  <c r="O42" i="14"/>
  <c r="I42" i="14"/>
  <c r="H42" i="14"/>
  <c r="O31" i="14"/>
  <c r="O36" i="14" s="1"/>
  <c r="F3" i="14" s="1"/>
  <c r="K15" i="1" s="1"/>
  <c r="I31" i="14"/>
  <c r="H31" i="14"/>
  <c r="L31" i="14" s="1"/>
  <c r="P31" i="14" s="1"/>
  <c r="G15" i="1"/>
  <c r="P30" i="14"/>
  <c r="P21" i="14"/>
  <c r="M21" i="14"/>
  <c r="G17" i="1" l="1"/>
  <c r="K18" i="7"/>
  <c r="F15" i="7"/>
  <c r="F16" i="7"/>
  <c r="I18" i="7"/>
  <c r="O18" i="7"/>
  <c r="M18" i="7"/>
  <c r="F13" i="7"/>
  <c r="L42" i="14"/>
  <c r="P42" i="14" s="1"/>
  <c r="M31" i="14"/>
  <c r="P32" i="14"/>
  <c r="M32" i="14"/>
  <c r="M20" i="14"/>
  <c r="H40" i="14"/>
  <c r="O40" i="14"/>
  <c r="I40" i="14"/>
  <c r="Q16" i="14"/>
  <c r="M42" i="14"/>
  <c r="O41" i="14"/>
  <c r="I41" i="14"/>
  <c r="H41" i="14"/>
  <c r="L41" i="14" s="1"/>
  <c r="O52" i="14"/>
  <c r="I52" i="14"/>
  <c r="H52" i="14"/>
  <c r="O50" i="14"/>
  <c r="H50" i="14"/>
  <c r="I50" i="14"/>
  <c r="K51" i="14"/>
  <c r="G51" i="14"/>
  <c r="D3" i="14"/>
  <c r="I15" i="1" s="1"/>
  <c r="B5" i="14"/>
  <c r="P26" i="14"/>
  <c r="H36" i="7"/>
  <c r="H19" i="1" s="1"/>
  <c r="I36" i="7"/>
  <c r="J36" i="7"/>
  <c r="J19" i="1" s="1"/>
  <c r="K36" i="7"/>
  <c r="L36" i="7"/>
  <c r="L19" i="1" s="1"/>
  <c r="O36" i="7"/>
  <c r="P36" i="7"/>
  <c r="P19" i="1" s="1"/>
  <c r="K17" i="1" l="1"/>
  <c r="M17" i="1"/>
  <c r="O17" i="1"/>
  <c r="I17" i="1"/>
  <c r="G24" i="1"/>
  <c r="F18" i="7"/>
  <c r="P36" i="14"/>
  <c r="F4" i="14" s="1"/>
  <c r="L52" i="14"/>
  <c r="D4" i="14"/>
  <c r="I16" i="1" s="1"/>
  <c r="Q26" i="14"/>
  <c r="L50" i="14"/>
  <c r="M50" i="14" s="1"/>
  <c r="M52" i="14"/>
  <c r="P52" i="14"/>
  <c r="O46" i="14"/>
  <c r="H3" i="14" s="1"/>
  <c r="M15" i="1" s="1"/>
  <c r="L40" i="14"/>
  <c r="P41" i="14"/>
  <c r="M41" i="14"/>
  <c r="O51" i="14"/>
  <c r="O56" i="14" s="1"/>
  <c r="H51" i="14"/>
  <c r="I51" i="14"/>
  <c r="D17" i="1"/>
  <c r="K19" i="1"/>
  <c r="I19" i="1"/>
  <c r="O19" i="1"/>
  <c r="Q36" i="14" l="1"/>
  <c r="P50" i="14"/>
  <c r="D5" i="14"/>
  <c r="L51" i="14"/>
  <c r="M51" i="14" s="1"/>
  <c r="J3" i="14"/>
  <c r="P40" i="14"/>
  <c r="M40" i="14"/>
  <c r="F5" i="14"/>
  <c r="K16" i="1"/>
  <c r="D19" i="1"/>
  <c r="J24" i="7"/>
  <c r="J18" i="1" s="1"/>
  <c r="H24" i="7"/>
  <c r="H18" i="1" s="1"/>
  <c r="O24" i="7"/>
  <c r="O18" i="1" s="1"/>
  <c r="K24" i="7"/>
  <c r="K18" i="1" s="1"/>
  <c r="I24" i="7"/>
  <c r="I18" i="1" s="1"/>
  <c r="P24" i="7"/>
  <c r="P18" i="1" s="1"/>
  <c r="L24" i="7"/>
  <c r="L18" i="1" s="1"/>
  <c r="P46" i="14" l="1"/>
  <c r="H4" i="14" s="1"/>
  <c r="P51" i="14"/>
  <c r="P56" i="14" s="1"/>
  <c r="J4" i="14" s="1"/>
  <c r="J5" i="14" s="1"/>
  <c r="O15" i="1"/>
  <c r="D15" i="1" s="1"/>
  <c r="L3" i="14"/>
  <c r="F6" i="7" s="1"/>
  <c r="D18" i="1"/>
  <c r="H58" i="7"/>
  <c r="H22" i="1" s="1"/>
  <c r="J58" i="7"/>
  <c r="J22" i="1" s="1"/>
  <c r="L58" i="7"/>
  <c r="L22" i="1" s="1"/>
  <c r="P58" i="7"/>
  <c r="P22" i="1" s="1"/>
  <c r="Q46" i="14" l="1"/>
  <c r="O16" i="1"/>
  <c r="Q56" i="14"/>
  <c r="M16" i="1"/>
  <c r="H5" i="14"/>
  <c r="L4" i="14"/>
  <c r="F9" i="7" s="1"/>
  <c r="J49" i="7"/>
  <c r="J20" i="1" s="1"/>
  <c r="J23" i="1" s="1"/>
  <c r="J25" i="1" s="1"/>
  <c r="L49" i="7"/>
  <c r="L20" i="1" s="1"/>
  <c r="L23" i="1" s="1"/>
  <c r="L25" i="1" s="1"/>
  <c r="P49" i="7"/>
  <c r="P20" i="1" s="1"/>
  <c r="P23" i="1" s="1"/>
  <c r="P25" i="1" s="1"/>
  <c r="M24" i="1" l="1"/>
  <c r="M23" i="1"/>
  <c r="D16" i="1"/>
  <c r="I49" i="7"/>
  <c r="M25" i="1" l="1"/>
  <c r="I20" i="1"/>
  <c r="H49" i="7"/>
  <c r="H20" i="1" s="1"/>
  <c r="H23" i="1" s="1"/>
  <c r="H25" i="1" s="1"/>
  <c r="I24" i="1" l="1"/>
  <c r="K58" i="7"/>
  <c r="K22" i="1" s="1"/>
  <c r="I58" i="7"/>
  <c r="I22" i="1" s="1"/>
  <c r="I23" i="1" s="1"/>
  <c r="G58" i="7"/>
  <c r="G22" i="1" s="1"/>
  <c r="I25" i="1" l="1"/>
  <c r="G23" i="1"/>
  <c r="O58" i="7"/>
  <c r="O22" i="1" s="1"/>
  <c r="O49" i="7"/>
  <c r="F58" i="7" l="1"/>
  <c r="F65" i="7"/>
  <c r="O20" i="1"/>
  <c r="O23" i="1" s="1"/>
  <c r="O24" i="1"/>
  <c r="D22" i="1"/>
  <c r="K49" i="7"/>
  <c r="J3" i="7" l="1"/>
  <c r="D9" i="1" s="1"/>
  <c r="O25" i="1"/>
  <c r="K20" i="1"/>
  <c r="D10" i="1"/>
  <c r="K24" i="1" l="1"/>
  <c r="D24" i="1" s="1"/>
  <c r="Q65" i="7"/>
  <c r="D20" i="1"/>
  <c r="D23" i="1" s="1"/>
  <c r="K23" i="1"/>
  <c r="K25" i="1" l="1"/>
  <c r="J5" i="7"/>
  <c r="G25" i="1"/>
  <c r="D25" i="1"/>
  <c r="J6" i="7" l="1"/>
  <c r="D11" i="1"/>
  <c r="D12" i="1" s="1"/>
</calcChain>
</file>

<file path=xl/sharedStrings.xml><?xml version="1.0" encoding="utf-8"?>
<sst xmlns="http://schemas.openxmlformats.org/spreadsheetml/2006/main" count="860" uniqueCount="228">
  <si>
    <r>
      <t xml:space="preserve">Period of Performance </t>
    </r>
    <r>
      <rPr>
        <b/>
        <i/>
        <sz val="10"/>
        <color theme="1"/>
        <rFont val="Calibri"/>
        <family val="2"/>
        <scheme val="minor"/>
      </rPr>
      <t>(months):</t>
    </r>
  </si>
  <si>
    <t>Totals:</t>
  </si>
  <si>
    <t xml:space="preserve">Checkpoint: All Project Totals line up? </t>
  </si>
  <si>
    <t>Total Federal:</t>
  </si>
  <si>
    <t>Total Match:</t>
  </si>
  <si>
    <r>
      <t xml:space="preserve">Personnel - </t>
    </r>
    <r>
      <rPr>
        <sz val="10"/>
        <color theme="1"/>
        <rFont val="Calibri"/>
        <family val="2"/>
        <scheme val="minor"/>
      </rPr>
      <t xml:space="preserve">Cost as shown on the Staffing Plan. This will autofill from what is entered on the Staffing Plan tab. </t>
    </r>
  </si>
  <si>
    <t>Checkpoint: Match totals line up?</t>
  </si>
  <si>
    <t>Total Personnel Costs</t>
  </si>
  <si>
    <r>
      <t xml:space="preserve">Fringe - </t>
    </r>
    <r>
      <rPr>
        <sz val="10"/>
        <color theme="1"/>
        <rFont val="Calibri"/>
        <family val="2"/>
        <scheme val="minor"/>
      </rPr>
      <t>Associated fringe costs for the personnel listed in the staffing plan</t>
    </r>
    <r>
      <rPr>
        <b/>
        <sz val="10"/>
        <color theme="1"/>
        <rFont val="Calibri"/>
        <family val="2"/>
        <scheme val="minor"/>
      </rPr>
      <t>.</t>
    </r>
    <r>
      <rPr>
        <sz val="10"/>
        <color theme="1"/>
        <rFont val="Calibri"/>
        <family val="2"/>
        <scheme val="minor"/>
      </rPr>
      <t xml:space="preserve"> This will autofill from what is entered on the Staffing Plan tab. </t>
    </r>
  </si>
  <si>
    <t>Additional Details</t>
  </si>
  <si>
    <t>Total Fringe Costs</t>
  </si>
  <si>
    <r>
      <t xml:space="preserve">Travel - </t>
    </r>
    <r>
      <rPr>
        <sz val="10"/>
        <color theme="1"/>
        <rFont val="Calibri"/>
        <family val="2"/>
        <scheme val="minor"/>
      </rPr>
      <t>Requirements for travel costs can be found in 2 CFR 200.475.</t>
    </r>
  </si>
  <si>
    <t>Year 1</t>
  </si>
  <si>
    <t>Year 2</t>
  </si>
  <si>
    <t>Year 3</t>
  </si>
  <si>
    <t>Year 4</t>
  </si>
  <si>
    <t>Event</t>
  </si>
  <si>
    <t>Travelers</t>
  </si>
  <si>
    <t>Purpose</t>
  </si>
  <si>
    <t>Cost</t>
  </si>
  <si>
    <t>Federal Share</t>
  </si>
  <si>
    <t>Non-Federal Share</t>
  </si>
  <si>
    <t>Program Implementation</t>
  </si>
  <si>
    <t>Total Travel Costs</t>
  </si>
  <si>
    <r>
      <t xml:space="preserve">Equipment - </t>
    </r>
    <r>
      <rPr>
        <sz val="10"/>
        <color theme="1"/>
        <rFont val="Calibri"/>
        <family val="2"/>
        <scheme val="minor"/>
      </rPr>
      <t>Typically exceeds $5000 per unit cost and has a useful life greater than 1 year. See the definition of equipment at 2 CFR 200.1.</t>
    </r>
  </si>
  <si>
    <t>Equipment</t>
  </si>
  <si>
    <t>Cost per Unit &amp; Quantity</t>
  </si>
  <si>
    <t>Total Equipment Costs</t>
  </si>
  <si>
    <t>Supply</t>
  </si>
  <si>
    <t>Total Supply Costs</t>
  </si>
  <si>
    <r>
      <t xml:space="preserve">Contractual - </t>
    </r>
    <r>
      <rPr>
        <sz val="10"/>
        <color theme="1"/>
        <rFont val="Calibri"/>
        <family val="2"/>
        <scheme val="minor"/>
      </rPr>
      <t>Contractors are subject to procurement standards in 2 CFR 200.317 - 200.327. All Subawards to eligible recipients should be noted under this line item as well. Please denote in the second column if this line item applies to a "subaward" or "contractor". For guidance on these two distinct roles, see 2 CFR 200.331. (Please note, this section will not autopopulate from the subawardees tab, but please also fill out the subawardees time for subawards - not for contractual).</t>
    </r>
  </si>
  <si>
    <t>Organization Name (if applicable)</t>
  </si>
  <si>
    <t>Subaward or Contractor?</t>
  </si>
  <si>
    <t>Details of services being provided</t>
  </si>
  <si>
    <t>Subaward</t>
  </si>
  <si>
    <t>Total Contractual Costs</t>
  </si>
  <si>
    <t>Construction</t>
  </si>
  <si>
    <t>Quantity</t>
  </si>
  <si>
    <t>Other</t>
  </si>
  <si>
    <t>Total Other Costs</t>
  </si>
  <si>
    <t>Enter allowable base costs as provided in your NICRA. See the definition of modified total direct cost at 2 CFR 200.1.</t>
  </si>
  <si>
    <t>Modified Total Direct Costs (cost base)</t>
  </si>
  <si>
    <t>Rate as named in your NICRA should be used here. If opting to use de minimis rate, should put 10% here as the Indirect Rate.</t>
  </si>
  <si>
    <t>Indirect Rate</t>
  </si>
  <si>
    <t>If using de minimis rate, please include statement from the NOFO here.</t>
  </si>
  <si>
    <t>Total Allowable Indirect Cost</t>
  </si>
  <si>
    <t>Program Design</t>
  </si>
  <si>
    <t>System Design</t>
  </si>
  <si>
    <t>Program Design, System Design, Program Implementation</t>
  </si>
  <si>
    <t>Program Design, Program Implementation</t>
  </si>
  <si>
    <t>System Design, Program Implementation</t>
  </si>
  <si>
    <t>Cash</t>
  </si>
  <si>
    <t>In-kind</t>
  </si>
  <si>
    <t>Contractor</t>
  </si>
  <si>
    <t>Personnel</t>
  </si>
  <si>
    <t>Fringe Benefits</t>
  </si>
  <si>
    <t>Travel</t>
  </si>
  <si>
    <t>Supplies</t>
  </si>
  <si>
    <t>Contractual</t>
  </si>
  <si>
    <t>Total Direct Charges</t>
  </si>
  <si>
    <t xml:space="preserve">Indirect Charges </t>
  </si>
  <si>
    <t>Authorized Budget</t>
  </si>
  <si>
    <t>Column E should match the SF-424A form (total budget). Line Item Budget will autopopulate from Budget Narrative tab.</t>
  </si>
  <si>
    <t>Total Project Budget</t>
  </si>
  <si>
    <t>Non-Federal (Matching) Share</t>
  </si>
  <si>
    <t>Federal Grant Rate</t>
  </si>
  <si>
    <t>Line Item Budget</t>
  </si>
  <si>
    <t>Organization Type (Non-profit, university, etc.)</t>
  </si>
  <si>
    <t>Executive Director</t>
  </si>
  <si>
    <t>Computers</t>
  </si>
  <si>
    <t>Printers</t>
  </si>
  <si>
    <t>Desks</t>
  </si>
  <si>
    <t>Employee</t>
  </si>
  <si>
    <t>TBD</t>
  </si>
  <si>
    <t xml:space="preserve">Website development and maint. </t>
  </si>
  <si>
    <t>IT support &amp; maintenance</t>
  </si>
  <si>
    <t>Legal support and review</t>
  </si>
  <si>
    <t>location</t>
  </si>
  <si>
    <t>days</t>
  </si>
  <si>
    <t>travelers</t>
  </si>
  <si>
    <t>Trip</t>
  </si>
  <si>
    <t>Quarter 1</t>
  </si>
  <si>
    <t>Quarter 2</t>
  </si>
  <si>
    <t>Quarter 3</t>
  </si>
  <si>
    <t>Quarter 4</t>
  </si>
  <si>
    <r>
      <t xml:space="preserve">Other - </t>
    </r>
    <r>
      <rPr>
        <sz val="11"/>
        <color theme="1"/>
        <rFont val="Calibri"/>
        <family val="2"/>
        <scheme val="minor"/>
      </rPr>
      <t xml:space="preserve">any other costs that do not fit in previous categories. </t>
    </r>
  </si>
  <si>
    <r>
      <t>Indirect Cost -</t>
    </r>
    <r>
      <rPr>
        <sz val="11"/>
        <color theme="1"/>
        <rFont val="Calibri"/>
        <family val="2"/>
        <scheme val="minor"/>
      </rPr>
      <t xml:space="preserve"> Must be within your NICRA from your cognizant agency and provide basis for calculations. If your organization does not have a NICRA, may use de minimus rate of 10%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or your organization can apply for a NICRA (see NOFO for instructions on how to apply for NICRA).</t>
    </r>
  </si>
  <si>
    <r>
      <t xml:space="preserve">Supplies - </t>
    </r>
    <r>
      <rPr>
        <sz val="10"/>
        <color theme="1"/>
        <rFont val="Calibri"/>
        <family val="2"/>
        <scheme val="minor"/>
      </rPr>
      <t>Supplies must be itemized and must correlate to the purpose of the award. Miscellaneous is not sufficient. See the c</t>
    </r>
  </si>
  <si>
    <t>Total Grant</t>
  </si>
  <si>
    <t>Grant Rate</t>
  </si>
  <si>
    <t>Federal Share (EPA grant funded)</t>
  </si>
  <si>
    <t>Description</t>
  </si>
  <si>
    <t xml:space="preserve">Detailed Travel Narrative </t>
  </si>
  <si>
    <t>Year 5</t>
  </si>
  <si>
    <t>Per diem/ per day per traveler</t>
  </si>
  <si>
    <t>Roundtrip Airfare per traveler</t>
  </si>
  <si>
    <t>Hotel per day per traveler</t>
  </si>
  <si>
    <t>Car rental per day per traveler</t>
  </si>
  <si>
    <t>Ink / printers</t>
  </si>
  <si>
    <t>Paper / misc office supplies</t>
  </si>
  <si>
    <t>Rent / office lease</t>
  </si>
  <si>
    <t>portion of lease costs allocated to grant</t>
  </si>
  <si>
    <t>5 years</t>
  </si>
  <si>
    <t>Dues / subscriptions</t>
  </si>
  <si>
    <t xml:space="preserve">dues and subscritions for employee collaboration, and incentive program </t>
  </si>
  <si>
    <t>as needed 2,000 per year</t>
  </si>
  <si>
    <t>Total Travel Cost</t>
  </si>
  <si>
    <t>Total Q1</t>
  </si>
  <si>
    <t>Total Q2</t>
  </si>
  <si>
    <t>Total Q3</t>
  </si>
  <si>
    <t>Total Q4</t>
  </si>
  <si>
    <t>Year 1 DC trip</t>
  </si>
  <si>
    <t>see travel tab for details</t>
  </si>
  <si>
    <t>$2000/month allocated to office lease for program employees</t>
  </si>
  <si>
    <t>10/1/24-9/30/2029</t>
  </si>
  <si>
    <t xml:space="preserve">Title </t>
  </si>
  <si>
    <t xml:space="preserve">Personnel </t>
  </si>
  <si>
    <t>Fringe</t>
  </si>
  <si>
    <t>Basis for Fringe and wages below</t>
  </si>
  <si>
    <t>cross check</t>
  </si>
  <si>
    <t>cross check Total</t>
  </si>
  <si>
    <t>Salary</t>
  </si>
  <si>
    <t>hourly</t>
  </si>
  <si>
    <t>hours per week</t>
  </si>
  <si>
    <t>number of weeks</t>
  </si>
  <si>
    <t>Total hours</t>
  </si>
  <si>
    <t>Total Healthcare</t>
  </si>
  <si>
    <t>Paid leave</t>
  </si>
  <si>
    <t>Total fringe</t>
  </si>
  <si>
    <t>Total wages</t>
  </si>
  <si>
    <t>Total Taxes</t>
  </si>
  <si>
    <t>Total 401k Employer</t>
  </si>
  <si>
    <t>per employee fringe rate</t>
  </si>
  <si>
    <t>percentage of grant</t>
  </si>
  <si>
    <t>Wages allocated to grant</t>
  </si>
  <si>
    <t>Fringe allocated to grant</t>
  </si>
  <si>
    <t>Year 1 Totals</t>
  </si>
  <si>
    <t xml:space="preserve">Year 1   </t>
  </si>
  <si>
    <t>Year 2 Totals</t>
  </si>
  <si>
    <t>Year 3 Totals</t>
  </si>
  <si>
    <t>Year 4 Totals</t>
  </si>
  <si>
    <t>Year 5 Totals</t>
  </si>
  <si>
    <t>15 @ 1,400</t>
  </si>
  <si>
    <t xml:space="preserve">misc paper and offices supplies project specific. </t>
  </si>
  <si>
    <t>Printers for office setup for new employees</t>
  </si>
  <si>
    <t>Desks for office setup for new employees</t>
  </si>
  <si>
    <t>Computers for office setup for new employees</t>
  </si>
  <si>
    <t>yes</t>
  </si>
  <si>
    <t>CPRG budget workbook</t>
  </si>
  <si>
    <t>ink for 1 printers 3 set per year</t>
  </si>
  <si>
    <t xml:space="preserve">5, $2,500 </t>
  </si>
  <si>
    <t>monitors &amp; docking stations</t>
  </si>
  <si>
    <t>monitors and docking stations for new employee setup</t>
  </si>
  <si>
    <t>Data Analysis / graphic design</t>
  </si>
  <si>
    <t>Financial oversignt &amp; Accounting support</t>
  </si>
  <si>
    <t>Contract Management &amp; Quality Control</t>
  </si>
  <si>
    <t>Auditing consultant</t>
  </si>
  <si>
    <t>Alaska Heat Smart</t>
  </si>
  <si>
    <t>sub award contract see Sub 1 tab (AHS)</t>
  </si>
  <si>
    <t>Program Manager</t>
  </si>
  <si>
    <t>Program Assistant</t>
  </si>
  <si>
    <t>PTO / Holiday</t>
  </si>
  <si>
    <t>SEC Staffing Plan</t>
  </si>
  <si>
    <t>SWAMC region</t>
  </si>
  <si>
    <t>Kenai/ Seward/ Soldotna</t>
  </si>
  <si>
    <t>Ketchikan/ Sitka/ POW/ Haines</t>
  </si>
  <si>
    <t>Southeast Alaska region</t>
  </si>
  <si>
    <t>Cordova / Valdez</t>
  </si>
  <si>
    <t>Prince William Sound region</t>
  </si>
  <si>
    <t>Technical conference</t>
  </si>
  <si>
    <t>Wash DC / Atlanta</t>
  </si>
  <si>
    <t>Annual travel 1 time per year</t>
  </si>
  <si>
    <t>Annual travel</t>
  </si>
  <si>
    <t xml:space="preserve">program specific. </t>
  </si>
  <si>
    <t>program specific</t>
  </si>
  <si>
    <t xml:space="preserve">program specific.  </t>
  </si>
  <si>
    <t>paper, pens, basic office operating supplies for program specific employees.</t>
  </si>
  <si>
    <t>secure collaboration w/ staff &amp; sub awardees</t>
  </si>
  <si>
    <t>2 @ 2400</t>
  </si>
  <si>
    <t>2 @ 3000</t>
  </si>
  <si>
    <t>4 @ 450</t>
  </si>
  <si>
    <t>1 @ 1,200</t>
  </si>
  <si>
    <t>$1,200/month allocated to office lease for program employees</t>
  </si>
  <si>
    <t>AHS Staffing Plan</t>
  </si>
  <si>
    <t xml:space="preserve">Annual </t>
  </si>
  <si>
    <t xml:space="preserve">Supplies </t>
  </si>
  <si>
    <t>ink for 2 printers 3 set per year</t>
  </si>
  <si>
    <t>Software licensing</t>
  </si>
  <si>
    <t>5 @ 50k per year</t>
  </si>
  <si>
    <t>software licensing for remote assessment software</t>
  </si>
  <si>
    <t>Screens &amp; Docking Stations</t>
  </si>
  <si>
    <t>monitors and docking stations for program specific employees</t>
  </si>
  <si>
    <t xml:space="preserve">5, $3,500 </t>
  </si>
  <si>
    <t>Total Supplies</t>
  </si>
  <si>
    <t>Contractual - Contractors are subject to procurement standards in 2 CFR 200.317 - 200.327. All Subawards to eligible recipients should be noted under this line item as well. Please denote in the second column if this line item applies to a "subaward" or "contractor". For guidance on these two distinct roles, see 2 CFR 200.331. (Please note, this section will not autopopulate from the subawardees tab, but please also fill out the subawardees time for subawards - not for contractual).</t>
  </si>
  <si>
    <t xml:space="preserve">Contractual  </t>
  </si>
  <si>
    <t>Travel - Requirements for travel costs can be found in 2 CFR 200.475.</t>
  </si>
  <si>
    <t xml:space="preserve">Travel </t>
  </si>
  <si>
    <t xml:space="preserve">Supplies - Supplies must be itemized and must correlate to the purpose of the award. Miscellaneous is not sufficient. </t>
  </si>
  <si>
    <t>regional community survey to determine baseline</t>
  </si>
  <si>
    <t xml:space="preserve">Advertising &amp; Marketing </t>
  </si>
  <si>
    <t xml:space="preserve">Remote assessment software developers &amp; and additional support in remaining years. </t>
  </si>
  <si>
    <t>Graphic Design</t>
  </si>
  <si>
    <t xml:space="preserve">Budget details AHS </t>
  </si>
  <si>
    <t>Incentive program-year 1 to 5 program levels vary 4,000-8,500</t>
  </si>
  <si>
    <t>Total Personnel and Fringe</t>
  </si>
  <si>
    <t>Detailed breakdown of staffing plan available to granting agency upon request</t>
  </si>
  <si>
    <t xml:space="preserve">Juneau, regional, SC </t>
  </si>
  <si>
    <t>Incentive program additonal details available upon request and in accordance with NOFO guidelines</t>
  </si>
  <si>
    <t>Sub 1-Alaska Heat Smart Detail budget</t>
  </si>
  <si>
    <t>1-2 travelers, full breakdown available in budget excel provided to SEC</t>
  </si>
  <si>
    <t>project management, training, and outreach.</t>
  </si>
  <si>
    <t>Sub 2-Alaska Municipal League Detail budget</t>
  </si>
  <si>
    <t>Alaska Municipal League</t>
  </si>
  <si>
    <t>5 @ 2400</t>
  </si>
  <si>
    <t>5 @ 3000</t>
  </si>
  <si>
    <t>3 @ 1,200</t>
  </si>
  <si>
    <t>as needed 5,000 per year</t>
  </si>
  <si>
    <t>10, screens $300 5 docks $100</t>
  </si>
  <si>
    <t>Infrastructure Symposium</t>
  </si>
  <si>
    <t>CPRG awardee and subrecipient  meetings</t>
  </si>
  <si>
    <t>For profit, utility</t>
  </si>
  <si>
    <t>GHG monitoring software</t>
  </si>
  <si>
    <t>yearly breakdown for federal, and non-federal (matching) share for each line item.</t>
  </si>
  <si>
    <t xml:space="preserve"> Kodiak</t>
  </si>
  <si>
    <t>Kodiak</t>
  </si>
  <si>
    <t>Kenai Peninsula</t>
  </si>
  <si>
    <t>sub award contract see sub 2 tab (AML)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</si>
</sst>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2"/>
      <name val="Arial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u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9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8" fillId="0" borderId="0"/>
  </cellStyleXfs>
  <cellXfs count="354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9" fontId="3" fillId="0" borderId="1" xfId="2" applyFont="1" applyBorder="1" applyAlignment="1">
      <alignment vertical="center"/>
    </xf>
    <xf numFmtId="6" fontId="0" fillId="0" borderId="4" xfId="0" applyNumberFormat="1" applyBorder="1"/>
    <xf numFmtId="0" fontId="4" fillId="0" borderId="4" xfId="0" applyFont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2" fillId="0" borderId="0" xfId="0" applyFont="1" applyAlignment="1">
      <alignment horizontal="center"/>
    </xf>
    <xf numFmtId="6" fontId="2" fillId="0" borderId="0" xfId="0" applyNumberFormat="1" applyFont="1"/>
    <xf numFmtId="6" fontId="0" fillId="0" borderId="0" xfId="0" applyNumberFormat="1" applyAlignment="1">
      <alignment horizontal="righ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7" fillId="0" borderId="4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8" fontId="3" fillId="5" borderId="0" xfId="1" applyNumberFormat="1" applyFont="1" applyFill="1" applyBorder="1" applyAlignment="1">
      <alignment horizontal="center" vertical="center"/>
    </xf>
    <xf numFmtId="8" fontId="3" fillId="5" borderId="0" xfId="0" applyNumberFormat="1" applyFont="1" applyFill="1" applyAlignment="1">
      <alignment horizontal="center" vertical="center" wrapText="1"/>
    </xf>
    <xf numFmtId="9" fontId="3" fillId="5" borderId="0" xfId="2" applyFont="1" applyFill="1" applyBorder="1" applyAlignment="1">
      <alignment vertical="center"/>
    </xf>
    <xf numFmtId="0" fontId="0" fillId="5" borderId="0" xfId="0" applyFill="1"/>
    <xf numFmtId="44" fontId="0" fillId="0" borderId="4" xfId="1" applyFont="1" applyBorder="1"/>
    <xf numFmtId="0" fontId="0" fillId="0" borderId="0" xfId="0" applyAlignment="1">
      <alignment horizontal="center"/>
    </xf>
    <xf numFmtId="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11" fillId="0" borderId="0" xfId="0" applyFont="1"/>
    <xf numFmtId="8" fontId="11" fillId="0" borderId="0" xfId="0" applyNumberFormat="1" applyFont="1"/>
    <xf numFmtId="44" fontId="0" fillId="0" borderId="4" xfId="0" applyNumberFormat="1" applyBorder="1"/>
    <xf numFmtId="0" fontId="13" fillId="0" borderId="0" xfId="0" applyFont="1"/>
    <xf numFmtId="0" fontId="14" fillId="0" borderId="0" xfId="0" applyFont="1"/>
    <xf numFmtId="0" fontId="4" fillId="0" borderId="4" xfId="0" applyFont="1" applyBorder="1" applyAlignment="1">
      <alignment horizontal="center" wrapText="1"/>
    </xf>
    <xf numFmtId="0" fontId="2" fillId="0" borderId="4" xfId="0" applyFont="1" applyBorder="1"/>
    <xf numFmtId="0" fontId="0" fillId="0" borderId="4" xfId="0" applyBorder="1" applyProtection="1">
      <protection locked="0"/>
    </xf>
    <xf numFmtId="44" fontId="3" fillId="0" borderId="4" xfId="1" applyFont="1" applyBorder="1" applyAlignment="1" applyProtection="1">
      <alignment horizontal="center" vertical="center" wrapText="1"/>
      <protection locked="0"/>
    </xf>
    <xf numFmtId="44" fontId="0" fillId="0" borderId="4" xfId="1" applyFont="1" applyBorder="1" applyProtection="1">
      <protection locked="0"/>
    </xf>
    <xf numFmtId="10" fontId="3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wrapText="1"/>
    </xf>
    <xf numFmtId="0" fontId="4" fillId="0" borderId="4" xfId="0" applyFont="1" applyBorder="1" applyAlignment="1" applyProtection="1">
      <alignment horizontal="center"/>
      <protection locked="0"/>
    </xf>
    <xf numFmtId="44" fontId="0" fillId="0" borderId="4" xfId="0" applyNumberFormat="1" applyBorder="1" applyProtection="1">
      <protection locked="0"/>
    </xf>
    <xf numFmtId="44" fontId="0" fillId="0" borderId="4" xfId="1" applyFont="1" applyBorder="1" applyAlignment="1" applyProtection="1">
      <alignment horizontal="center"/>
      <protection locked="0"/>
    </xf>
    <xf numFmtId="44" fontId="2" fillId="0" borderId="4" xfId="1" applyFont="1" applyBorder="1" applyProtection="1">
      <protection locked="0"/>
    </xf>
    <xf numFmtId="9" fontId="0" fillId="0" borderId="4" xfId="2" applyFont="1" applyBorder="1"/>
    <xf numFmtId="44" fontId="0" fillId="0" borderId="0" xfId="1" applyFont="1"/>
    <xf numFmtId="0" fontId="4" fillId="0" borderId="4" xfId="0" applyFont="1" applyBorder="1" applyAlignment="1" applyProtection="1">
      <alignment horizontal="left"/>
      <protection locked="0"/>
    </xf>
    <xf numFmtId="44" fontId="0" fillId="0" borderId="4" xfId="1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4" fontId="19" fillId="0" borderId="4" xfId="1" applyFont="1" applyBorder="1" applyAlignment="1" applyProtection="1">
      <alignment horizontal="center" vertical="center" wrapText="1"/>
      <protection locked="0"/>
    </xf>
    <xf numFmtId="44" fontId="19" fillId="0" borderId="22" xfId="1" applyFont="1" applyBorder="1" applyAlignment="1" applyProtection="1">
      <alignment horizontal="center" vertical="center" wrapText="1"/>
      <protection locked="0"/>
    </xf>
    <xf numFmtId="44" fontId="0" fillId="0" borderId="4" xfId="1" applyFont="1" applyBorder="1" applyAlignment="1">
      <alignment horizontal="center" vertical="center" wrapText="1"/>
    </xf>
    <xf numFmtId="0" fontId="0" fillId="0" borderId="19" xfId="0" applyBorder="1"/>
    <xf numFmtId="0" fontId="0" fillId="0" borderId="5" xfId="0" applyBorder="1" applyAlignment="1" applyProtection="1">
      <alignment vertical="top"/>
      <protection locked="0"/>
    </xf>
    <xf numFmtId="0" fontId="0" fillId="0" borderId="4" xfId="0" applyBorder="1" applyAlignment="1">
      <alignment wrapText="1"/>
    </xf>
    <xf numFmtId="0" fontId="0" fillId="0" borderId="7" xfId="0" applyBorder="1" applyProtection="1">
      <protection locked="0"/>
    </xf>
    <xf numFmtId="0" fontId="0" fillId="0" borderId="4" xfId="0" applyBorder="1"/>
    <xf numFmtId="0" fontId="0" fillId="0" borderId="4" xfId="0" applyBorder="1" applyAlignment="1" applyProtection="1">
      <alignment vertical="top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 applyProtection="1">
      <alignment horizontal="center"/>
      <protection locked="0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44" fontId="0" fillId="0" borderId="0" xfId="0" applyNumberFormat="1"/>
    <xf numFmtId="0" fontId="0" fillId="0" borderId="4" xfId="0" applyBorder="1" applyAlignment="1" applyProtection="1">
      <alignment horizontal="left"/>
      <protection locked="0"/>
    </xf>
    <xf numFmtId="44" fontId="0" fillId="0" borderId="4" xfId="1" applyFont="1" applyBorder="1" applyAlignment="1" applyProtection="1">
      <alignment horizontal="left"/>
      <protection locked="0"/>
    </xf>
    <xf numFmtId="0" fontId="0" fillId="6" borderId="17" xfId="0" applyFill="1" applyBorder="1"/>
    <xf numFmtId="0" fontId="0" fillId="6" borderId="19" xfId="0" applyFill="1" applyBorder="1"/>
    <xf numFmtId="44" fontId="0" fillId="0" borderId="4" xfId="0" applyNumberFormat="1" applyBorder="1" applyAlignment="1" applyProtection="1">
      <alignment wrapText="1"/>
      <protection locked="0"/>
    </xf>
    <xf numFmtId="0" fontId="0" fillId="0" borderId="22" xfId="0" applyBorder="1"/>
    <xf numFmtId="0" fontId="7" fillId="0" borderId="4" xfId="0" applyFont="1" applyBorder="1" applyAlignment="1">
      <alignment horizontal="center" vertical="center"/>
    </xf>
    <xf numFmtId="6" fontId="3" fillId="3" borderId="2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7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7" xfId="0" applyBorder="1"/>
    <xf numFmtId="9" fontId="0" fillId="0" borderId="3" xfId="2" applyFont="1" applyBorder="1"/>
    <xf numFmtId="5" fontId="0" fillId="0" borderId="25" xfId="0" applyNumberFormat="1" applyBorder="1"/>
    <xf numFmtId="5" fontId="0" fillId="0" borderId="16" xfId="0" applyNumberFormat="1" applyBorder="1"/>
    <xf numFmtId="5" fontId="0" fillId="0" borderId="18" xfId="0" applyNumberFormat="1" applyBorder="1"/>
    <xf numFmtId="41" fontId="3" fillId="0" borderId="1" xfId="1" applyNumberFormat="1" applyFont="1" applyBorder="1" applyAlignment="1">
      <alignment horizontal="center" vertical="center"/>
    </xf>
    <xf numFmtId="6" fontId="0" fillId="0" borderId="0" xfId="0" applyNumberFormat="1"/>
    <xf numFmtId="164" fontId="0" fillId="0" borderId="0" xfId="1" applyNumberFormat="1" applyFont="1" applyFill="1"/>
    <xf numFmtId="0" fontId="2" fillId="0" borderId="0" xfId="0" applyFont="1" applyAlignment="1">
      <alignment horizontal="center" vertical="center"/>
    </xf>
    <xf numFmtId="164" fontId="0" fillId="0" borderId="4" xfId="0" applyNumberFormat="1" applyBorder="1" applyAlignment="1" applyProtection="1">
      <alignment wrapText="1"/>
      <protection locked="0"/>
    </xf>
    <xf numFmtId="164" fontId="3" fillId="0" borderId="4" xfId="1" applyNumberFormat="1" applyFont="1" applyBorder="1" applyAlignment="1" applyProtection="1">
      <alignment horizontal="center" vertical="center" wrapText="1"/>
      <protection locked="0"/>
    </xf>
    <xf numFmtId="164" fontId="0" fillId="0" borderId="4" xfId="1" applyNumberFormat="1" applyFont="1" applyBorder="1" applyAlignment="1" applyProtection="1">
      <alignment wrapText="1"/>
      <protection locked="0"/>
    </xf>
    <xf numFmtId="164" fontId="0" fillId="0" borderId="4" xfId="1" applyNumberFormat="1" applyFont="1" applyBorder="1" applyAlignment="1">
      <alignment wrapText="1"/>
    </xf>
    <xf numFmtId="164" fontId="0" fillId="0" borderId="4" xfId="0" applyNumberFormat="1" applyBorder="1" applyProtection="1">
      <protection locked="0"/>
    </xf>
    <xf numFmtId="6" fontId="2" fillId="0" borderId="4" xfId="1" applyNumberFormat="1" applyFont="1" applyBorder="1" applyAlignment="1" applyProtection="1">
      <alignment horizontal="left"/>
      <protection locked="0"/>
    </xf>
    <xf numFmtId="6" fontId="0" fillId="0" borderId="0" xfId="1" applyNumberFormat="1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44" fontId="0" fillId="0" borderId="4" xfId="1" applyFont="1" applyBorder="1" applyAlignment="1" applyProtection="1">
      <alignment horizontal="center" vertical="center"/>
      <protection locked="0"/>
    </xf>
    <xf numFmtId="44" fontId="0" fillId="0" borderId="4" xfId="1" applyFont="1" applyBorder="1" applyAlignment="1">
      <alignment horizontal="center" vertical="center"/>
    </xf>
    <xf numFmtId="44" fontId="0" fillId="0" borderId="22" xfId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44" fontId="0" fillId="0" borderId="0" xfId="1" applyFont="1" applyFill="1" applyBorder="1"/>
    <xf numFmtId="0" fontId="22" fillId="0" borderId="0" xfId="0" applyFont="1" applyAlignment="1">
      <alignment wrapText="1"/>
    </xf>
    <xf numFmtId="0" fontId="4" fillId="9" borderId="4" xfId="0" applyFont="1" applyFill="1" applyBorder="1" applyAlignment="1">
      <alignment horizontal="center" vertical="center" wrapText="1"/>
    </xf>
    <xf numFmtId="0" fontId="0" fillId="9" borderId="4" xfId="0" applyFill="1" applyBorder="1"/>
    <xf numFmtId="0" fontId="21" fillId="9" borderId="4" xfId="0" applyFont="1" applyFill="1" applyBorder="1" applyAlignment="1">
      <alignment horizontal="center" wrapText="1"/>
    </xf>
    <xf numFmtId="44" fontId="0" fillId="9" borderId="4" xfId="1" applyFont="1" applyFill="1" applyBorder="1"/>
    <xf numFmtId="0" fontId="22" fillId="9" borderId="4" xfId="0" applyFont="1" applyFill="1" applyBorder="1" applyAlignment="1">
      <alignment wrapText="1"/>
    </xf>
    <xf numFmtId="0" fontId="4" fillId="10" borderId="4" xfId="0" applyFont="1" applyFill="1" applyBorder="1" applyAlignment="1">
      <alignment horizontal="center" vertical="center" wrapText="1"/>
    </xf>
    <xf numFmtId="0" fontId="0" fillId="10" borderId="4" xfId="0" applyFill="1" applyBorder="1"/>
    <xf numFmtId="0" fontId="21" fillId="10" borderId="4" xfId="0" applyFont="1" applyFill="1" applyBorder="1" applyAlignment="1">
      <alignment horizontal="center" wrapText="1"/>
    </xf>
    <xf numFmtId="44" fontId="21" fillId="10" borderId="4" xfId="1" applyFont="1" applyFill="1" applyBorder="1" applyAlignment="1">
      <alignment horizontal="center" wrapText="1"/>
    </xf>
    <xf numFmtId="44" fontId="0" fillId="10" borderId="4" xfId="1" applyFont="1" applyFill="1" applyBorder="1"/>
    <xf numFmtId="0" fontId="22" fillId="10" borderId="4" xfId="0" applyFont="1" applyFill="1" applyBorder="1" applyAlignment="1">
      <alignment wrapText="1"/>
    </xf>
    <xf numFmtId="44" fontId="22" fillId="10" borderId="4" xfId="1" applyFont="1" applyFill="1" applyBorder="1" applyAlignment="1">
      <alignment wrapText="1"/>
    </xf>
    <xf numFmtId="44" fontId="0" fillId="10" borderId="21" xfId="1" applyFont="1" applyFill="1" applyBorder="1"/>
    <xf numFmtId="0" fontId="4" fillId="11" borderId="4" xfId="0" applyFont="1" applyFill="1" applyBorder="1" applyAlignment="1">
      <alignment horizontal="center" vertical="center" wrapText="1"/>
    </xf>
    <xf numFmtId="0" fontId="0" fillId="11" borderId="4" xfId="0" applyFill="1" applyBorder="1"/>
    <xf numFmtId="0" fontId="21" fillId="11" borderId="4" xfId="0" applyFont="1" applyFill="1" applyBorder="1" applyAlignment="1">
      <alignment horizontal="center" wrapText="1"/>
    </xf>
    <xf numFmtId="44" fontId="0" fillId="11" borderId="4" xfId="1" applyFont="1" applyFill="1" applyBorder="1"/>
    <xf numFmtId="0" fontId="22" fillId="11" borderId="4" xfId="0" applyFont="1" applyFill="1" applyBorder="1" applyAlignment="1">
      <alignment wrapText="1"/>
    </xf>
    <xf numFmtId="0" fontId="4" fillId="12" borderId="4" xfId="0" applyFont="1" applyFill="1" applyBorder="1" applyAlignment="1">
      <alignment horizontal="center" vertical="center" wrapText="1"/>
    </xf>
    <xf numFmtId="0" fontId="0" fillId="12" borderId="4" xfId="0" applyFill="1" applyBorder="1"/>
    <xf numFmtId="0" fontId="21" fillId="12" borderId="4" xfId="0" applyFont="1" applyFill="1" applyBorder="1" applyAlignment="1">
      <alignment horizontal="center" wrapText="1"/>
    </xf>
    <xf numFmtId="44" fontId="0" fillId="12" borderId="4" xfId="1" applyFont="1" applyFill="1" applyBorder="1"/>
    <xf numFmtId="0" fontId="22" fillId="12" borderId="4" xfId="0" applyFont="1" applyFill="1" applyBorder="1" applyAlignment="1">
      <alignment wrapText="1"/>
    </xf>
    <xf numFmtId="0" fontId="4" fillId="13" borderId="4" xfId="0" applyFont="1" applyFill="1" applyBorder="1" applyAlignment="1">
      <alignment horizontal="center" vertical="center" wrapText="1"/>
    </xf>
    <xf numFmtId="0" fontId="0" fillId="13" borderId="4" xfId="0" applyFill="1" applyBorder="1"/>
    <xf numFmtId="0" fontId="21" fillId="13" borderId="4" xfId="0" applyFont="1" applyFill="1" applyBorder="1" applyAlignment="1">
      <alignment wrapText="1"/>
    </xf>
    <xf numFmtId="44" fontId="0" fillId="13" borderId="4" xfId="1" applyFont="1" applyFill="1" applyBorder="1"/>
    <xf numFmtId="0" fontId="22" fillId="13" borderId="4" xfId="0" applyFont="1" applyFill="1" applyBorder="1" applyAlignment="1">
      <alignment wrapText="1"/>
    </xf>
    <xf numFmtId="0" fontId="0" fillId="0" borderId="7" xfId="0" applyBorder="1" applyAlignment="1" applyProtection="1">
      <alignment wrapText="1"/>
      <protection locked="0"/>
    </xf>
    <xf numFmtId="6" fontId="0" fillId="14" borderId="4" xfId="0" applyNumberFormat="1" applyFill="1" applyBorder="1" applyAlignment="1">
      <alignment horizontal="right"/>
    </xf>
    <xf numFmtId="0" fontId="6" fillId="14" borderId="20" xfId="0" applyFont="1" applyFill="1" applyBorder="1"/>
    <xf numFmtId="6" fontId="0" fillId="14" borderId="5" xfId="0" applyNumberFormat="1" applyFill="1" applyBorder="1" applyAlignment="1">
      <alignment horizontal="right"/>
    </xf>
    <xf numFmtId="44" fontId="2" fillId="14" borderId="4" xfId="1" applyFont="1" applyFill="1" applyBorder="1" applyProtection="1">
      <protection locked="0"/>
    </xf>
    <xf numFmtId="44" fontId="2" fillId="14" borderId="4" xfId="0" applyNumberFormat="1" applyFont="1" applyFill="1" applyBorder="1" applyProtection="1">
      <protection locked="0"/>
    </xf>
    <xf numFmtId="164" fontId="2" fillId="14" borderId="4" xfId="1" applyNumberFormat="1" applyFont="1" applyFill="1" applyBorder="1" applyProtection="1">
      <protection locked="0"/>
    </xf>
    <xf numFmtId="44" fontId="2" fillId="14" borderId="4" xfId="1" applyFont="1" applyFill="1" applyBorder="1" applyAlignment="1" applyProtection="1">
      <alignment horizontal="center" vertical="center"/>
      <protection locked="0"/>
    </xf>
    <xf numFmtId="6" fontId="3" fillId="14" borderId="4" xfId="0" applyNumberFormat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Protection="1">
      <protection locked="0"/>
    </xf>
    <xf numFmtId="44" fontId="7" fillId="0" borderId="4" xfId="1" applyFont="1" applyBorder="1" applyProtection="1">
      <protection locked="0"/>
    </xf>
    <xf numFmtId="44" fontId="7" fillId="0" borderId="29" xfId="1" applyFont="1" applyBorder="1" applyProtection="1">
      <protection locked="0"/>
    </xf>
    <xf numFmtId="8" fontId="24" fillId="0" borderId="22" xfId="1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25" fillId="0" borderId="4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8" fontId="0" fillId="0" borderId="0" xfId="0" applyNumberFormat="1"/>
    <xf numFmtId="0" fontId="7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24" fillId="0" borderId="4" xfId="1" applyFont="1" applyBorder="1" applyAlignment="1" applyProtection="1">
      <alignment horizontal="center" vertical="center" wrapText="1"/>
      <protection locked="0"/>
    </xf>
    <xf numFmtId="44" fontId="24" fillId="0" borderId="29" xfId="1" applyFont="1" applyBorder="1" applyAlignment="1" applyProtection="1">
      <alignment horizontal="center" vertical="center" wrapText="1"/>
      <protection locked="0"/>
    </xf>
    <xf numFmtId="5" fontId="3" fillId="0" borderId="1" xfId="1" applyNumberFormat="1" applyFont="1" applyBorder="1" applyAlignment="1">
      <alignment horizontal="center" vertical="center"/>
    </xf>
    <xf numFmtId="44" fontId="3" fillId="0" borderId="0" xfId="1" applyFont="1" applyFill="1" applyBorder="1" applyAlignment="1">
      <alignment horizontal="center" vertical="center" wrapText="1"/>
    </xf>
    <xf numFmtId="44" fontId="3" fillId="0" borderId="4" xfId="1" applyFont="1" applyFill="1" applyBorder="1" applyAlignment="1">
      <alignment horizontal="center" vertical="center" wrapText="1"/>
    </xf>
    <xf numFmtId="44" fontId="3" fillId="0" borderId="0" xfId="1" applyFont="1" applyFill="1" applyBorder="1" applyAlignment="1">
      <alignment vertical="center" wrapText="1"/>
    </xf>
    <xf numFmtId="44" fontId="3" fillId="0" borderId="8" xfId="1" applyFont="1" applyFill="1" applyBorder="1" applyAlignment="1">
      <alignment vertical="center" wrapText="1"/>
    </xf>
    <xf numFmtId="0" fontId="2" fillId="0" borderId="0" xfId="0" applyFont="1"/>
    <xf numFmtId="0" fontId="21" fillId="10" borderId="4" xfId="0" applyFont="1" applyFill="1" applyBorder="1" applyAlignment="1">
      <alignment horizontal="center" vertical="center" wrapText="1"/>
    </xf>
    <xf numFmtId="0" fontId="22" fillId="10" borderId="4" xfId="0" applyFont="1" applyFill="1" applyBorder="1" applyAlignment="1">
      <alignment horizontal="center" vertical="center" wrapText="1"/>
    </xf>
    <xf numFmtId="44" fontId="21" fillId="11" borderId="4" xfId="1" applyFont="1" applyFill="1" applyBorder="1" applyAlignment="1">
      <alignment horizontal="center" wrapText="1"/>
    </xf>
    <xf numFmtId="44" fontId="22" fillId="11" borderId="4" xfId="1" applyFont="1" applyFill="1" applyBorder="1" applyAlignment="1">
      <alignment wrapText="1"/>
    </xf>
    <xf numFmtId="44" fontId="21" fillId="12" borderId="4" xfId="1" applyFont="1" applyFill="1" applyBorder="1" applyAlignment="1">
      <alignment horizontal="center" wrapText="1"/>
    </xf>
    <xf numFmtId="44" fontId="22" fillId="12" borderId="4" xfId="1" applyFont="1" applyFill="1" applyBorder="1" applyAlignment="1">
      <alignment wrapText="1"/>
    </xf>
    <xf numFmtId="44" fontId="21" fillId="13" borderId="4" xfId="1" applyFont="1" applyFill="1" applyBorder="1" applyAlignment="1">
      <alignment horizontal="right" wrapText="1"/>
    </xf>
    <xf numFmtId="44" fontId="22" fillId="13" borderId="4" xfId="1" applyFont="1" applyFill="1" applyBorder="1" applyAlignment="1">
      <alignment wrapText="1"/>
    </xf>
    <xf numFmtId="44" fontId="0" fillId="10" borderId="4" xfId="1" applyFont="1" applyFill="1" applyBorder="1" applyAlignment="1">
      <alignment horizontal="center" vertical="center" wrapText="1"/>
    </xf>
    <xf numFmtId="44" fontId="0" fillId="9" borderId="4" xfId="1" applyFont="1" applyFill="1" applyBorder="1" applyAlignment="1">
      <alignment horizontal="center" vertical="center" wrapText="1"/>
    </xf>
    <xf numFmtId="44" fontId="0" fillId="11" borderId="4" xfId="1" applyFont="1" applyFill="1" applyBorder="1" applyAlignment="1">
      <alignment horizontal="center" vertical="center" wrapText="1"/>
    </xf>
    <xf numFmtId="44" fontId="0" fillId="12" borderId="4" xfId="1" applyFont="1" applyFill="1" applyBorder="1" applyAlignment="1">
      <alignment horizontal="center" vertical="center" wrapText="1"/>
    </xf>
    <xf numFmtId="44" fontId="0" fillId="13" borderId="4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2" fillId="9" borderId="4" xfId="0" applyFont="1" applyFill="1" applyBorder="1" applyAlignment="1">
      <alignment horizontal="center" wrapText="1"/>
    </xf>
    <xf numFmtId="0" fontId="22" fillId="11" borderId="4" xfId="0" applyFont="1" applyFill="1" applyBorder="1" applyAlignment="1">
      <alignment horizontal="center" wrapText="1"/>
    </xf>
    <xf numFmtId="0" fontId="22" fillId="12" borderId="4" xfId="0" applyFont="1" applyFill="1" applyBorder="1" applyAlignment="1">
      <alignment horizontal="center" wrapText="1"/>
    </xf>
    <xf numFmtId="0" fontId="21" fillId="13" borderId="4" xfId="0" applyFont="1" applyFill="1" applyBorder="1" applyAlignment="1">
      <alignment horizontal="center" wrapText="1"/>
    </xf>
    <xf numFmtId="0" fontId="22" fillId="13" borderId="4" xfId="0" applyFont="1" applyFill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21" fillId="9" borderId="4" xfId="0" applyFont="1" applyFill="1" applyBorder="1" applyAlignment="1">
      <alignment horizontal="center" vertical="center" wrapText="1"/>
    </xf>
    <xf numFmtId="0" fontId="22" fillId="9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1" fillId="11" borderId="4" xfId="0" applyFont="1" applyFill="1" applyBorder="1" applyAlignment="1">
      <alignment horizontal="center" vertical="center" wrapText="1"/>
    </xf>
    <xf numFmtId="0" fontId="22" fillId="11" borderId="4" xfId="0" applyFont="1" applyFill="1" applyBorder="1" applyAlignment="1">
      <alignment horizontal="center" vertical="center" wrapText="1"/>
    </xf>
    <xf numFmtId="0" fontId="21" fillId="12" borderId="4" xfId="0" applyFont="1" applyFill="1" applyBorder="1" applyAlignment="1">
      <alignment horizontal="center" vertical="center" wrapText="1"/>
    </xf>
    <xf numFmtId="0" fontId="22" fillId="12" borderId="4" xfId="0" applyFont="1" applyFill="1" applyBorder="1" applyAlignment="1">
      <alignment horizontal="center" vertical="center" wrapText="1"/>
    </xf>
    <xf numFmtId="0" fontId="21" fillId="13" borderId="4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center" vertical="center" wrapText="1"/>
    </xf>
    <xf numFmtId="44" fontId="0" fillId="0" borderId="35" xfId="1" applyFont="1" applyBorder="1"/>
    <xf numFmtId="44" fontId="0" fillId="0" borderId="4" xfId="0" applyNumberFormat="1" applyBorder="1" applyAlignment="1">
      <alignment wrapText="1"/>
    </xf>
    <xf numFmtId="44" fontId="19" fillId="0" borderId="29" xfId="1" applyFont="1" applyBorder="1" applyAlignment="1" applyProtection="1">
      <alignment horizontal="center" vertical="center" wrapText="1"/>
      <protection locked="0"/>
    </xf>
    <xf numFmtId="44" fontId="0" fillId="0" borderId="29" xfId="1" applyFont="1" applyBorder="1" applyProtection="1">
      <protection locked="0"/>
    </xf>
    <xf numFmtId="0" fontId="2" fillId="0" borderId="28" xfId="0" applyFont="1" applyBorder="1" applyProtection="1"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164" fontId="19" fillId="0" borderId="4" xfId="1" applyNumberFormat="1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9" fontId="19" fillId="0" borderId="1" xfId="2" applyFont="1" applyBorder="1" applyAlignment="1">
      <alignment vertical="center"/>
    </xf>
    <xf numFmtId="44" fontId="19" fillId="0" borderId="20" xfId="1" applyFont="1" applyBorder="1" applyAlignment="1">
      <alignment horizontal="center" vertical="center" wrapText="1"/>
    </xf>
    <xf numFmtId="44" fontId="19" fillId="0" borderId="34" xfId="1" applyFont="1" applyFill="1" applyBorder="1" applyAlignment="1">
      <alignment horizontal="center" vertical="center" wrapText="1"/>
    </xf>
    <xf numFmtId="44" fontId="19" fillId="0" borderId="34" xfId="1" applyFont="1" applyBorder="1" applyAlignment="1">
      <alignment horizontal="center" vertical="center" wrapText="1"/>
    </xf>
    <xf numFmtId="44" fontId="19" fillId="0" borderId="4" xfId="1" applyFont="1" applyBorder="1" applyAlignment="1">
      <alignment horizontal="center" vertical="center" wrapText="1"/>
    </xf>
    <xf numFmtId="44" fontId="19" fillId="0" borderId="35" xfId="1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/>
    </xf>
    <xf numFmtId="44" fontId="26" fillId="0" borderId="3" xfId="1" applyFont="1" applyBorder="1" applyAlignment="1">
      <alignment horizontal="center" vertical="center" wrapText="1"/>
    </xf>
    <xf numFmtId="44" fontId="26" fillId="0" borderId="19" xfId="1" applyFont="1" applyBorder="1" applyAlignment="1">
      <alignment horizontal="center" vertical="center" wrapText="1"/>
    </xf>
    <xf numFmtId="44" fontId="19" fillId="0" borderId="4" xfId="1" applyFont="1" applyFill="1" applyBorder="1" applyAlignment="1">
      <alignment horizontal="center" vertical="center" wrapText="1"/>
    </xf>
    <xf numFmtId="44" fontId="19" fillId="0" borderId="18" xfId="1" applyFont="1" applyBorder="1" applyAlignment="1">
      <alignment horizontal="center" vertical="center" wrapText="1"/>
    </xf>
    <xf numFmtId="44" fontId="19" fillId="0" borderId="36" xfId="1" applyFont="1" applyBorder="1" applyAlignment="1">
      <alignment horizontal="center" vertical="center" wrapText="1"/>
    </xf>
    <xf numFmtId="44" fontId="19" fillId="0" borderId="35" xfId="1" applyFont="1" applyFill="1" applyBorder="1" applyAlignment="1">
      <alignment horizontal="center" vertical="center" wrapText="1"/>
    </xf>
    <xf numFmtId="44" fontId="19" fillId="0" borderId="37" xfId="1" applyFont="1" applyBorder="1" applyAlignment="1">
      <alignment horizontal="center" vertical="center" wrapText="1"/>
    </xf>
    <xf numFmtId="44" fontId="0" fillId="0" borderId="4" xfId="1" applyFont="1" applyBorder="1" applyAlignment="1" applyProtection="1">
      <alignment horizontal="center" vertical="center" wrapText="1"/>
      <protection locked="0"/>
    </xf>
    <xf numFmtId="44" fontId="0" fillId="0" borderId="22" xfId="1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44" fontId="2" fillId="0" borderId="4" xfId="1" applyFont="1" applyBorder="1" applyAlignment="1" applyProtection="1">
      <alignment horizontal="center" vertical="center" wrapText="1"/>
      <protection locked="0"/>
    </xf>
    <xf numFmtId="164" fontId="2" fillId="0" borderId="4" xfId="0" applyNumberFormat="1" applyFont="1" applyBorder="1" applyProtection="1">
      <protection locked="0"/>
    </xf>
    <xf numFmtId="44" fontId="2" fillId="0" borderId="4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4" fontId="26" fillId="0" borderId="2" xfId="1" applyFont="1" applyBorder="1" applyAlignment="1">
      <alignment horizontal="center" vertical="center" wrapText="1"/>
    </xf>
    <xf numFmtId="44" fontId="3" fillId="12" borderId="4" xfId="1" applyFont="1" applyFill="1" applyBorder="1" applyAlignment="1" applyProtection="1">
      <alignment horizontal="center" vertical="center" wrapText="1"/>
      <protection locked="0"/>
    </xf>
    <xf numFmtId="44" fontId="26" fillId="0" borderId="22" xfId="1" applyFont="1" applyBorder="1" applyAlignment="1" applyProtection="1">
      <alignment horizontal="center" vertical="center" wrapText="1"/>
      <protection locked="0"/>
    </xf>
    <xf numFmtId="44" fontId="0" fillId="0" borderId="4" xfId="1" applyFont="1" applyBorder="1" applyAlignment="1">
      <alignment wrapText="1"/>
    </xf>
    <xf numFmtId="44" fontId="2" fillId="15" borderId="4" xfId="1" applyFont="1" applyFill="1" applyBorder="1" applyAlignment="1" applyProtection="1">
      <alignment horizontal="center" vertical="center" wrapText="1"/>
      <protection locked="0"/>
    </xf>
    <xf numFmtId="44" fontId="2" fillId="15" borderId="4" xfId="1" applyFont="1" applyFill="1" applyBorder="1" applyProtection="1">
      <protection locked="0"/>
    </xf>
    <xf numFmtId="44" fontId="2" fillId="15" borderId="4" xfId="1" applyFont="1" applyFill="1" applyBorder="1" applyAlignment="1" applyProtection="1">
      <alignment horizontal="center" vertical="center"/>
      <protection locked="0"/>
    </xf>
    <xf numFmtId="164" fontId="2" fillId="15" borderId="4" xfId="0" applyNumberFormat="1" applyFont="1" applyFill="1" applyBorder="1" applyProtection="1">
      <protection locked="0"/>
    </xf>
    <xf numFmtId="44" fontId="26" fillId="15" borderId="22" xfId="1" applyFont="1" applyFill="1" applyBorder="1" applyAlignment="1" applyProtection="1">
      <alignment horizontal="center" vertical="center" wrapText="1"/>
      <protection locked="0"/>
    </xf>
    <xf numFmtId="164" fontId="19" fillId="0" borderId="1" xfId="1" applyNumberFormat="1" applyFont="1" applyBorder="1" applyAlignment="1">
      <alignment horizontal="center" vertical="center"/>
    </xf>
    <xf numFmtId="164" fontId="19" fillId="0" borderId="1" xfId="2" applyNumberFormat="1" applyFont="1" applyBorder="1" applyAlignment="1">
      <alignment vertical="center"/>
    </xf>
    <xf numFmtId="164" fontId="19" fillId="0" borderId="20" xfId="1" applyNumberFormat="1" applyFont="1" applyBorder="1" applyAlignment="1">
      <alignment horizontal="center" vertical="center" wrapText="1"/>
    </xf>
    <xf numFmtId="164" fontId="19" fillId="0" borderId="18" xfId="1" applyNumberFormat="1" applyFont="1" applyBorder="1" applyAlignment="1">
      <alignment horizontal="center" vertical="center" wrapText="1"/>
    </xf>
    <xf numFmtId="164" fontId="19" fillId="0" borderId="36" xfId="1" applyNumberFormat="1" applyFont="1" applyBorder="1" applyAlignment="1">
      <alignment horizontal="center" vertical="center" wrapText="1"/>
    </xf>
    <xf numFmtId="164" fontId="26" fillId="0" borderId="3" xfId="1" applyNumberFormat="1" applyFont="1" applyBorder="1" applyAlignment="1">
      <alignment horizontal="center" vertical="center" wrapText="1"/>
    </xf>
    <xf numFmtId="44" fontId="0" fillId="0" borderId="4" xfId="1" applyFont="1" applyFill="1" applyBorder="1" applyAlignment="1" applyProtection="1">
      <alignment horizontal="center" vertical="center"/>
      <protection locked="0"/>
    </xf>
    <xf numFmtId="44" fontId="19" fillId="0" borderId="4" xfId="1" applyFont="1" applyFill="1" applyBorder="1" applyAlignment="1" applyProtection="1">
      <alignment horizontal="center" vertical="center" wrapText="1"/>
      <protection locked="0"/>
    </xf>
    <xf numFmtId="164" fontId="3" fillId="0" borderId="15" xfId="1" applyNumberFormat="1" applyFont="1" applyBorder="1" applyAlignment="1">
      <alignment horizontal="center" vertical="center" wrapText="1"/>
    </xf>
    <xf numFmtId="164" fontId="3" fillId="5" borderId="0" xfId="0" applyNumberFormat="1" applyFont="1" applyFill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164" fontId="0" fillId="0" borderId="4" xfId="1" applyNumberFormat="1" applyFont="1" applyBorder="1"/>
    <xf numFmtId="164" fontId="5" fillId="0" borderId="16" xfId="1" applyNumberFormat="1" applyFont="1" applyBorder="1" applyAlignment="1">
      <alignment horizontal="center" vertical="center" wrapText="1"/>
    </xf>
    <xf numFmtId="44" fontId="2" fillId="0" borderId="0" xfId="0" applyNumberFormat="1" applyFont="1"/>
    <xf numFmtId="164" fontId="0" fillId="0" borderId="0" xfId="0" applyNumberFormat="1"/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15" fillId="6" borderId="0" xfId="0" applyFont="1" applyFill="1" applyAlignment="1" applyProtection="1">
      <alignment horizontal="center"/>
      <protection locked="0"/>
    </xf>
    <xf numFmtId="0" fontId="15" fillId="6" borderId="28" xfId="0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2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7" borderId="15" xfId="0" applyFont="1" applyFill="1" applyBorder="1" applyAlignment="1">
      <alignment horizontal="center"/>
    </xf>
    <xf numFmtId="0" fontId="2" fillId="7" borderId="20" xfId="0" applyFont="1" applyFill="1" applyBorder="1" applyAlignment="1">
      <alignment horizontal="center"/>
    </xf>
    <xf numFmtId="0" fontId="0" fillId="3" borderId="17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left"/>
    </xf>
    <xf numFmtId="0" fontId="2" fillId="3" borderId="18" xfId="0" applyFont="1" applyFill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3" xfId="0" applyBorder="1" applyAlignment="1">
      <alignment horizontal="center"/>
    </xf>
    <xf numFmtId="6" fontId="0" fillId="0" borderId="19" xfId="0" applyNumberFormat="1" applyBorder="1" applyAlignment="1">
      <alignment horizontal="center"/>
    </xf>
    <xf numFmtId="6" fontId="0" fillId="0" borderId="3" xfId="0" applyNumberFormat="1" applyBorder="1" applyAlignment="1">
      <alignment horizontal="center"/>
    </xf>
    <xf numFmtId="0" fontId="6" fillId="7" borderId="5" xfId="0" applyFont="1" applyFill="1" applyBorder="1" applyAlignment="1" applyProtection="1">
      <alignment horizontal="left"/>
      <protection locked="0"/>
    </xf>
    <xf numFmtId="0" fontId="6" fillId="7" borderId="6" xfId="0" applyFont="1" applyFill="1" applyBorder="1" applyAlignment="1" applyProtection="1">
      <alignment horizontal="left"/>
      <protection locked="0"/>
    </xf>
    <xf numFmtId="0" fontId="6" fillId="7" borderId="5" xfId="0" applyFont="1" applyFill="1" applyBorder="1" applyAlignment="1" applyProtection="1">
      <alignment horizontal="left" wrapText="1"/>
      <protection locked="0"/>
    </xf>
    <xf numFmtId="0" fontId="6" fillId="7" borderId="7" xfId="0" applyFont="1" applyFill="1" applyBorder="1" applyAlignment="1" applyProtection="1">
      <alignment horizontal="left"/>
      <protection locked="0"/>
    </xf>
    <xf numFmtId="0" fontId="15" fillId="0" borderId="9" xfId="0" applyFont="1" applyBorder="1" applyAlignment="1">
      <alignment horizontal="center" wrapText="1"/>
    </xf>
    <xf numFmtId="0" fontId="15" fillId="0" borderId="24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28" xfId="0" applyFont="1" applyBorder="1" applyAlignment="1">
      <alignment horizontal="center" wrapText="1"/>
    </xf>
    <xf numFmtId="0" fontId="2" fillId="7" borderId="22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left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7" borderId="5" xfId="0" applyFont="1" applyFill="1" applyBorder="1" applyAlignment="1" applyProtection="1">
      <alignment horizontal="left"/>
      <protection locked="0"/>
    </xf>
    <xf numFmtId="0" fontId="2" fillId="7" borderId="6" xfId="0" applyFont="1" applyFill="1" applyBorder="1" applyAlignment="1" applyProtection="1">
      <alignment horizontal="left"/>
      <protection locked="0"/>
    </xf>
    <xf numFmtId="0" fontId="2" fillId="7" borderId="7" xfId="0" applyFont="1" applyFill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7" borderId="4" xfId="0" applyFont="1" applyFill="1" applyBorder="1" applyAlignment="1" applyProtection="1">
      <alignment horizontal="center"/>
      <protection locked="0"/>
    </xf>
    <xf numFmtId="0" fontId="7" fillId="0" borderId="24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6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left"/>
    </xf>
    <xf numFmtId="0" fontId="0" fillId="12" borderId="4" xfId="0" applyFill="1" applyBorder="1" applyAlignment="1">
      <alignment horizontal="right"/>
    </xf>
    <xf numFmtId="0" fontId="0" fillId="13" borderId="4" xfId="0" applyFill="1" applyBorder="1" applyAlignment="1">
      <alignment horizontal="right"/>
    </xf>
    <xf numFmtId="0" fontId="8" fillId="0" borderId="3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10" borderId="21" xfId="0" applyFill="1" applyBorder="1" applyAlignment="1">
      <alignment horizontal="right"/>
    </xf>
    <xf numFmtId="0" fontId="0" fillId="9" borderId="4" xfId="0" applyFill="1" applyBorder="1" applyAlignment="1">
      <alignment horizontal="right"/>
    </xf>
    <xf numFmtId="0" fontId="0" fillId="11" borderId="4" xfId="0" applyFill="1" applyBorder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2" fillId="12" borderId="4" xfId="0" applyFont="1" applyFill="1" applyBorder="1"/>
    <xf numFmtId="0" fontId="0" fillId="0" borderId="4" xfId="0" applyBorder="1" applyAlignment="1">
      <alignment horizontal="right"/>
    </xf>
    <xf numFmtId="0" fontId="2" fillId="0" borderId="4" xfId="0" applyFont="1" applyBorder="1"/>
    <xf numFmtId="0" fontId="2" fillId="7" borderId="4" xfId="0" applyFont="1" applyFill="1" applyBorder="1" applyAlignment="1">
      <alignment horizontal="center" vertical="center" wrapText="1"/>
    </xf>
    <xf numFmtId="0" fontId="27" fillId="12" borderId="8" xfId="0" applyFont="1" applyFill="1" applyBorder="1" applyAlignment="1">
      <alignment wrapText="1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7" borderId="5" xfId="0" applyFont="1" applyFill="1" applyBorder="1" applyAlignment="1" applyProtection="1">
      <alignment horizontal="center"/>
      <protection locked="0"/>
    </xf>
    <xf numFmtId="0" fontId="2" fillId="7" borderId="6" xfId="0" applyFont="1" applyFill="1" applyBorder="1" applyAlignment="1" applyProtection="1">
      <alignment horizontal="center"/>
      <protection locked="0"/>
    </xf>
    <xf numFmtId="0" fontId="2" fillId="7" borderId="7" xfId="0" applyFont="1" applyFill="1" applyBorder="1" applyAlignment="1" applyProtection="1">
      <alignment horizontal="center"/>
      <protection locked="0"/>
    </xf>
    <xf numFmtId="0" fontId="2" fillId="0" borderId="4" xfId="0" applyFont="1" applyBorder="1" applyAlignment="1">
      <alignment horizontal="right"/>
    </xf>
    <xf numFmtId="0" fontId="2" fillId="12" borderId="4" xfId="0" applyFont="1" applyFill="1" applyBorder="1" applyAlignment="1">
      <alignment horizontal="center"/>
    </xf>
    <xf numFmtId="0" fontId="2" fillId="12" borderId="4" xfId="0" applyFont="1" applyFill="1" applyBorder="1" applyAlignment="1" applyProtection="1">
      <alignment horizontal="center"/>
      <protection locked="0"/>
    </xf>
    <xf numFmtId="0" fontId="2" fillId="12" borderId="5" xfId="0" applyFont="1" applyFill="1" applyBorder="1" applyAlignment="1">
      <alignment horizontal="center"/>
    </xf>
    <xf numFmtId="0" fontId="2" fillId="12" borderId="6" xfId="0" applyFont="1" applyFill="1" applyBorder="1" applyAlignment="1">
      <alignment horizontal="center"/>
    </xf>
    <xf numFmtId="0" fontId="2" fillId="12" borderId="7" xfId="0" applyFont="1" applyFill="1" applyBorder="1" applyAlignment="1">
      <alignment horizontal="center"/>
    </xf>
    <xf numFmtId="0" fontId="27" fillId="12" borderId="0" xfId="0" applyFont="1" applyFill="1" applyAlignment="1">
      <alignment wrapText="1"/>
    </xf>
    <xf numFmtId="0" fontId="27" fillId="12" borderId="8" xfId="0" applyFont="1" applyFill="1" applyBorder="1"/>
    <xf numFmtId="0" fontId="26" fillId="12" borderId="11" xfId="0" applyFont="1" applyFill="1" applyBorder="1" applyAlignment="1">
      <alignment horizontal="center" vertical="center"/>
    </xf>
    <xf numFmtId="0" fontId="26" fillId="12" borderId="20" xfId="0" applyFont="1" applyFill="1" applyBorder="1" applyAlignment="1">
      <alignment horizontal="center" vertical="center"/>
    </xf>
    <xf numFmtId="0" fontId="0" fillId="0" borderId="4" xfId="0" applyBorder="1" applyAlignment="1" applyProtection="1">
      <alignment horizontal="right"/>
      <protection locked="0"/>
    </xf>
    <xf numFmtId="0" fontId="2" fillId="12" borderId="0" xfId="0" applyFont="1" applyFill="1" applyAlignment="1">
      <alignment horizontal="center" vertical="center"/>
    </xf>
    <xf numFmtId="0" fontId="25" fillId="12" borderId="4" xfId="0" applyFont="1" applyFill="1" applyBorder="1" applyAlignment="1">
      <alignment horizontal="center" vertical="center"/>
    </xf>
    <xf numFmtId="0" fontId="2" fillId="12" borderId="38" xfId="0" applyFont="1" applyFill="1" applyBorder="1" applyAlignment="1">
      <alignment horizontal="center"/>
    </xf>
    <xf numFmtId="0" fontId="2" fillId="12" borderId="39" xfId="0" applyFont="1" applyFill="1" applyBorder="1" applyAlignment="1">
      <alignment horizontal="center"/>
    </xf>
    <xf numFmtId="0" fontId="26" fillId="12" borderId="11" xfId="0" applyFont="1" applyFill="1" applyBorder="1" applyAlignment="1">
      <alignment horizontal="center" vertical="center" wrapText="1"/>
    </xf>
    <xf numFmtId="0" fontId="26" fillId="12" borderId="20" xfId="0" applyFont="1" applyFill="1" applyBorder="1" applyAlignment="1">
      <alignment horizontal="center" vertical="center" wrapText="1"/>
    </xf>
    <xf numFmtId="0" fontId="2" fillId="12" borderId="40" xfId="0" applyFont="1" applyFill="1" applyBorder="1" applyAlignment="1">
      <alignment horizontal="center"/>
    </xf>
    <xf numFmtId="0" fontId="2" fillId="12" borderId="41" xfId="0" applyFont="1" applyFill="1" applyBorder="1" applyAlignment="1">
      <alignment horizontal="center"/>
    </xf>
    <xf numFmtId="0" fontId="2" fillId="12" borderId="0" xfId="0" applyFont="1" applyFill="1" applyAlignment="1">
      <alignment horizontal="center"/>
    </xf>
    <xf numFmtId="0" fontId="2" fillId="12" borderId="42" xfId="0" applyFont="1" applyFill="1" applyBorder="1" applyAlignment="1">
      <alignment horizontal="center"/>
    </xf>
  </cellXfs>
  <cellStyles count="11">
    <cellStyle name="Comma 3" xfId="9" xr:uid="{AA79BBB9-8FA7-40B8-98F9-2EC54C555805}"/>
    <cellStyle name="Currency" xfId="1" builtinId="4"/>
    <cellStyle name="Currency 2" xfId="7" xr:uid="{0CB49C37-B616-4721-ADC2-3120EC5DC8A5}"/>
    <cellStyle name="Normal" xfId="0" builtinId="0"/>
    <cellStyle name="Normal 3" xfId="3" xr:uid="{8100DC7C-A55F-4423-9792-7593E8671D10}"/>
    <cellStyle name="Normal 5" xfId="10" xr:uid="{66B007A2-22B4-4C41-99E9-80CE442C6084}"/>
    <cellStyle name="Normal 6" xfId="5" xr:uid="{A0F348F8-D425-4470-BF35-3428B4857D94}"/>
    <cellStyle name="Percent" xfId="2" builtinId="5"/>
    <cellStyle name="Percent 10" xfId="4" xr:uid="{5A0B0DB0-E58F-4345-8E53-7C4B0374CC68}"/>
    <cellStyle name="Percent 16" xfId="6" xr:uid="{ABA5A271-0363-46FA-8D06-6400ABBAE76A}"/>
    <cellStyle name="Percent 2 2 2" xfId="8" xr:uid="{FA46756D-208E-4B53-9121-CF4F877DA2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510827</xdr:colOff>
      <xdr:row>1</xdr:row>
      <xdr:rowOff>36341</xdr:rowOff>
    </xdr:from>
    <xdr:to>
      <xdr:col>8</xdr:col>
      <xdr:colOff>57755</xdr:colOff>
      <xdr:row>2</xdr:row>
      <xdr:rowOff>160339</xdr:rowOff>
    </xdr:to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DF73F387-904D-49DD-8BA6-104C26C62B62}"/>
            </a:ext>
          </a:extLst>
        </xdr:cNvPr>
        <xdr:cNvSpPr txBox="1"/>
      </xdr:nvSpPr>
      <xdr:spPr>
        <a:xfrm>
          <a:off x="872777" y="217316"/>
          <a:ext cx="5709603" cy="419273"/>
        </a:xfrm>
        <a:prstGeom prst="rect">
          <a:avLst/>
        </a:prstGeom>
        <a:solidFill>
          <a:srgbClr val="FFFF00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Cells on this page are linked to the individual categories which are required for the SF-424, SF-424A and Budget Narrative.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balanceyourworld907-my.sharepoint.com/personal/stephanie_balanceyourworld907_onmicrosoft_com/Documents/Desktop/Balance%20Your%20World/Client%20Folders/Alaska%20HeatSmart/Grants%20&amp;%20Contracts/APE-CPRG/Budgets/second%20piece.xlsx" TargetMode="External"/><Relationship Id="rId2" Type="http://schemas.microsoft.com/office/2019/04/relationships/externalLinkLongPath" Target="/personal/stephanie_balanceyourworld907_onmicrosoft_com/Documents/Desktop/Balance%20Your%20World/Client%20Folders/Alaska%20HeatSmart/Grants%20&amp;%20Contracts/APE-CPRG/Budgets/second%20piece.xlsx?142798EA" TargetMode="External"/><Relationship Id="rId1" Type="http://schemas.openxmlformats.org/officeDocument/2006/relationships/externalLinkPath" Target="file:///\\142798EA\second%20pie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Budget Overview"/>
      <sheetName val="Budget Narrative"/>
      <sheetName val="Staffing"/>
      <sheetName val="Tab 1 travel "/>
      <sheetName val="Incentive program detail"/>
    </sheetNames>
    <sheetDataSet>
      <sheetData sheetId="0" refreshError="1"/>
      <sheetData sheetId="1" refreshError="1"/>
      <sheetData sheetId="2" refreshError="1"/>
      <sheetData sheetId="3" refreshError="1">
        <row r="7">
          <cell r="J7">
            <v>9790</v>
          </cell>
        </row>
        <row r="15">
          <cell r="J15">
            <v>10700</v>
          </cell>
        </row>
        <row r="23">
          <cell r="J23">
            <v>9790</v>
          </cell>
        </row>
        <row r="31">
          <cell r="J31">
            <v>8375</v>
          </cell>
        </row>
        <row r="40">
          <cell r="J40">
            <v>5809</v>
          </cell>
        </row>
        <row r="47">
          <cell r="J47">
            <v>4520</v>
          </cell>
        </row>
      </sheetData>
      <sheetData sheetId="4" refreshError="1">
        <row r="13">
          <cell r="E13">
            <v>4310500</v>
          </cell>
        </row>
        <row r="26">
          <cell r="E26">
            <v>6156500</v>
          </cell>
        </row>
        <row r="39">
          <cell r="E39">
            <v>8034000</v>
          </cell>
        </row>
        <row r="52">
          <cell r="E52">
            <v>6785500</v>
          </cell>
        </row>
        <row r="65">
          <cell r="E65">
            <v>5555000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P30"/>
  <sheetViews>
    <sheetView tabSelected="1" topLeftCell="A5" zoomScaleNormal="100" workbookViewId="0">
      <selection activeCell="O31" sqref="O31"/>
    </sheetView>
  </sheetViews>
  <sheetFormatPr defaultRowHeight="15" x14ac:dyDescent="0.25"/>
  <cols>
    <col min="1" max="1" width="3.28515625" customWidth="1"/>
    <col min="2" max="2" width="4.7109375" customWidth="1"/>
    <col min="3" max="3" width="33.42578125" customWidth="1"/>
    <col min="4" max="4" width="22.5703125" customWidth="1"/>
    <col min="5" max="6" width="2.5703125" customWidth="1"/>
    <col min="7" max="7" width="16.5703125" bestFit="1" customWidth="1"/>
    <col min="8" max="8" width="15.5703125" bestFit="1" customWidth="1"/>
    <col min="9" max="9" width="16.5703125" bestFit="1" customWidth="1"/>
    <col min="10" max="10" width="15.5703125" bestFit="1" customWidth="1"/>
    <col min="11" max="11" width="16.5703125" bestFit="1" customWidth="1"/>
    <col min="12" max="12" width="15.5703125" bestFit="1" customWidth="1"/>
    <col min="13" max="14" width="15.5703125" customWidth="1"/>
    <col min="15" max="15" width="16.5703125" bestFit="1" customWidth="1"/>
    <col min="16" max="16" width="15.5703125" bestFit="1" customWidth="1"/>
  </cols>
  <sheetData>
    <row r="2" spans="3:16" ht="23.85" customHeight="1" x14ac:dyDescent="0.25"/>
    <row r="3" spans="3:16" ht="23.85" customHeight="1" x14ac:dyDescent="0.25"/>
    <row r="4" spans="3:16" ht="18" customHeight="1" x14ac:dyDescent="0.25"/>
    <row r="5" spans="3:16" ht="19.5" customHeight="1" thickBot="1" x14ac:dyDescent="0.35">
      <c r="C5" s="250" t="s">
        <v>61</v>
      </c>
      <c r="D5" s="250"/>
      <c r="E5" s="11"/>
      <c r="F5" s="11"/>
    </row>
    <row r="6" spans="3:16" ht="34.35" customHeight="1" x14ac:dyDescent="0.25">
      <c r="C6" s="251" t="s">
        <v>62</v>
      </c>
      <c r="D6" s="252"/>
      <c r="E6" s="13"/>
      <c r="F6" s="13"/>
    </row>
    <row r="7" spans="3:16" ht="15.75" thickBot="1" x14ac:dyDescent="0.3"/>
    <row r="8" spans="3:16" ht="16.5" thickBot="1" x14ac:dyDescent="0.3">
      <c r="C8" s="248" t="s">
        <v>63</v>
      </c>
      <c r="D8" s="249"/>
      <c r="E8" s="14"/>
      <c r="F8" s="14"/>
      <c r="G8" s="154"/>
      <c r="H8" s="154"/>
      <c r="I8" s="154"/>
      <c r="J8" s="154"/>
      <c r="K8" s="154"/>
      <c r="L8" s="154"/>
      <c r="M8" s="247" t="s">
        <v>148</v>
      </c>
      <c r="N8" s="247"/>
      <c r="P8" s="81"/>
    </row>
    <row r="9" spans="3:16" ht="16.5" thickBot="1" x14ac:dyDescent="0.3">
      <c r="C9" s="1" t="s">
        <v>90</v>
      </c>
      <c r="D9" s="149">
        <f>'Budget Narrative'!J3</f>
        <v>38646534.431714259</v>
      </c>
      <c r="E9" s="15"/>
      <c r="F9" s="15"/>
      <c r="G9" s="152"/>
      <c r="H9" s="152"/>
      <c r="I9" s="152"/>
      <c r="J9" s="152"/>
      <c r="K9" s="152"/>
      <c r="L9" s="152"/>
      <c r="M9" s="150"/>
      <c r="N9" s="150"/>
      <c r="P9" s="81"/>
    </row>
    <row r="10" spans="3:16" ht="16.5" thickBot="1" x14ac:dyDescent="0.3">
      <c r="C10" s="2" t="s">
        <v>64</v>
      </c>
      <c r="D10" s="78">
        <f>'Budget Narrative'!J4</f>
        <v>0</v>
      </c>
      <c r="E10" s="16"/>
      <c r="F10" s="16"/>
      <c r="G10" s="152"/>
      <c r="H10" s="152"/>
      <c r="I10" s="152"/>
      <c r="J10" s="152"/>
      <c r="K10" s="152"/>
      <c r="L10" s="152"/>
      <c r="M10" s="150"/>
      <c r="N10" s="150"/>
    </row>
    <row r="11" spans="3:16" ht="16.5" thickBot="1" x14ac:dyDescent="0.3">
      <c r="C11" s="2" t="s">
        <v>63</v>
      </c>
      <c r="D11" s="149">
        <f>'Budget Narrative'!J5</f>
        <v>38646534.431714259</v>
      </c>
      <c r="E11" s="15"/>
      <c r="F11" s="15"/>
      <c r="G11" s="152"/>
      <c r="H11" s="152"/>
      <c r="I11" s="152"/>
      <c r="J11" s="152"/>
      <c r="K11" s="152"/>
      <c r="L11" s="152"/>
      <c r="M11" s="150"/>
      <c r="N11" s="150"/>
    </row>
    <row r="12" spans="3:16" ht="16.5" thickBot="1" x14ac:dyDescent="0.3">
      <c r="C12" s="2" t="s">
        <v>65</v>
      </c>
      <c r="D12" s="3">
        <f>D9/D11</f>
        <v>1</v>
      </c>
      <c r="E12" s="17"/>
      <c r="F12" s="17"/>
      <c r="G12" s="153"/>
      <c r="H12" s="153"/>
      <c r="I12" s="153"/>
      <c r="J12" s="153"/>
      <c r="K12" s="153"/>
      <c r="L12" s="153"/>
      <c r="M12" s="150"/>
      <c r="N12" s="150"/>
    </row>
    <row r="13" spans="3:16" ht="15.75" thickBot="1" x14ac:dyDescent="0.3">
      <c r="E13" s="18"/>
      <c r="F13" s="18"/>
      <c r="G13" s="244" t="s">
        <v>12</v>
      </c>
      <c r="H13" s="244"/>
      <c r="I13" s="244" t="s">
        <v>13</v>
      </c>
      <c r="J13" s="244"/>
      <c r="K13" s="244" t="s">
        <v>14</v>
      </c>
      <c r="L13" s="244"/>
      <c r="M13" s="245" t="s">
        <v>15</v>
      </c>
      <c r="N13" s="246"/>
      <c r="O13" s="244" t="s">
        <v>93</v>
      </c>
      <c r="P13" s="244"/>
    </row>
    <row r="14" spans="3:16" ht="16.5" thickBot="1" x14ac:dyDescent="0.3">
      <c r="C14" s="248" t="s">
        <v>66</v>
      </c>
      <c r="D14" s="249"/>
      <c r="E14" s="14"/>
      <c r="F14" s="14"/>
      <c r="G14" s="12" t="s">
        <v>20</v>
      </c>
      <c r="H14" s="12" t="s">
        <v>21</v>
      </c>
      <c r="I14" s="12" t="s">
        <v>20</v>
      </c>
      <c r="J14" s="12" t="s">
        <v>21</v>
      </c>
      <c r="K14" s="12" t="s">
        <v>20</v>
      </c>
      <c r="L14" s="12" t="s">
        <v>21</v>
      </c>
      <c r="M14" s="12" t="s">
        <v>20</v>
      </c>
      <c r="N14" s="12" t="s">
        <v>21</v>
      </c>
      <c r="O14" s="12" t="s">
        <v>20</v>
      </c>
      <c r="P14" s="12" t="s">
        <v>21</v>
      </c>
    </row>
    <row r="15" spans="3:16" ht="16.5" thickBot="1" x14ac:dyDescent="0.3">
      <c r="C15" s="1" t="s">
        <v>54</v>
      </c>
      <c r="D15" s="236">
        <f>SUM(G15:P15)</f>
        <v>784036.87000901112</v>
      </c>
      <c r="E15" s="237"/>
      <c r="F15" s="237"/>
      <c r="G15" s="238">
        <f>Staffing!B3</f>
        <v>141890.91427499999</v>
      </c>
      <c r="H15" s="238">
        <f>Staffing!C3</f>
        <v>0</v>
      </c>
      <c r="I15" s="238">
        <f>Staffing!D3</f>
        <v>148985.45998874999</v>
      </c>
      <c r="J15" s="238">
        <f>Staffing!E3</f>
        <v>0</v>
      </c>
      <c r="K15" s="238">
        <f>Staffing!F3</f>
        <v>156434.73298818752</v>
      </c>
      <c r="L15" s="238">
        <f>Staffing!G3</f>
        <v>0</v>
      </c>
      <c r="M15" s="238">
        <f>Staffing!H3</f>
        <v>164256.46963759689</v>
      </c>
      <c r="N15" s="238">
        <f>Staffing!I3</f>
        <v>0</v>
      </c>
      <c r="O15" s="238">
        <f>Staffing!J3</f>
        <v>172469.29311947673</v>
      </c>
      <c r="P15" s="238">
        <f>Staffing!K3</f>
        <v>0</v>
      </c>
    </row>
    <row r="16" spans="3:16" ht="16.5" thickBot="1" x14ac:dyDescent="0.3">
      <c r="C16" s="2" t="s">
        <v>55</v>
      </c>
      <c r="D16" s="236">
        <f t="shared" ref="D16:D22" si="0">SUM(G16:P16)</f>
        <v>415515.46135041711</v>
      </c>
      <c r="E16" s="237"/>
      <c r="F16" s="237"/>
      <c r="G16" s="238">
        <f>Staffing!B4</f>
        <v>72205.537712250007</v>
      </c>
      <c r="H16" s="238">
        <f>Staffing!C4</f>
        <v>0</v>
      </c>
      <c r="I16" s="238">
        <f>Staffing!D4</f>
        <v>75815.814597862511</v>
      </c>
      <c r="J16" s="238">
        <f>Staffing!E4</f>
        <v>0</v>
      </c>
      <c r="K16" s="238">
        <f>Staffing!F4</f>
        <v>79606.605327755635</v>
      </c>
      <c r="L16" s="238">
        <f>Staffing!G4</f>
        <v>0</v>
      </c>
      <c r="M16" s="238">
        <f>Staffing!H4</f>
        <v>83586.935594143419</v>
      </c>
      <c r="N16" s="238">
        <f>Staffing!I4</f>
        <v>0</v>
      </c>
      <c r="O16" s="238">
        <f>Staffing!J4</f>
        <v>104300.56811840559</v>
      </c>
      <c r="P16" s="238">
        <f>Staffing!K4</f>
        <v>0</v>
      </c>
    </row>
    <row r="17" spans="3:16" ht="16.5" thickBot="1" x14ac:dyDescent="0.3">
      <c r="C17" s="2" t="s">
        <v>56</v>
      </c>
      <c r="D17" s="236">
        <f t="shared" si="0"/>
        <v>190375</v>
      </c>
      <c r="E17" s="237"/>
      <c r="F17" s="237"/>
      <c r="G17" s="239">
        <f>'Budget Narrative'!G18</f>
        <v>38075</v>
      </c>
      <c r="H17" s="239">
        <f>'Budget Narrative'!H18</f>
        <v>0</v>
      </c>
      <c r="I17" s="239">
        <f>'Budget Narrative'!I18</f>
        <v>38075</v>
      </c>
      <c r="J17" s="239">
        <f>'Budget Narrative'!J18</f>
        <v>0</v>
      </c>
      <c r="K17" s="239">
        <f>'Budget Narrative'!K18</f>
        <v>38075</v>
      </c>
      <c r="L17" s="239">
        <f>'Budget Narrative'!L18</f>
        <v>0</v>
      </c>
      <c r="M17" s="239">
        <f>'Budget Narrative'!M18</f>
        <v>38075</v>
      </c>
      <c r="N17" s="239">
        <f>'Budget Narrative'!N18</f>
        <v>0</v>
      </c>
      <c r="O17" s="239">
        <f>'Budget Narrative'!O18</f>
        <v>38075</v>
      </c>
      <c r="P17" s="239">
        <f>'Budget Narrative'!P18</f>
        <v>0</v>
      </c>
    </row>
    <row r="18" spans="3:16" ht="16.5" thickBot="1" x14ac:dyDescent="0.3">
      <c r="C18" s="2" t="s">
        <v>25</v>
      </c>
      <c r="D18" s="236">
        <f t="shared" si="0"/>
        <v>0</v>
      </c>
      <c r="E18" s="237"/>
      <c r="F18" s="237"/>
      <c r="G18" s="239">
        <f>'Budget Narrative'!G24</f>
        <v>0</v>
      </c>
      <c r="H18" s="239">
        <f>'Budget Narrative'!H24</f>
        <v>0</v>
      </c>
      <c r="I18" s="239">
        <f>'Budget Narrative'!I24</f>
        <v>0</v>
      </c>
      <c r="J18" s="239">
        <f>'Budget Narrative'!J24</f>
        <v>0</v>
      </c>
      <c r="K18" s="239">
        <f>'Budget Narrative'!K24</f>
        <v>0</v>
      </c>
      <c r="L18" s="239">
        <f>'Budget Narrative'!L24</f>
        <v>0</v>
      </c>
      <c r="M18" s="239">
        <f>'Budget Narrative'!M24</f>
        <v>0</v>
      </c>
      <c r="N18" s="239">
        <f>'Budget Narrative'!N24</f>
        <v>0</v>
      </c>
      <c r="O18" s="239">
        <f>'Budget Narrative'!O24</f>
        <v>0</v>
      </c>
      <c r="P18" s="239">
        <f>'Budget Narrative'!P24</f>
        <v>0</v>
      </c>
    </row>
    <row r="19" spans="3:16" ht="16.5" thickBot="1" x14ac:dyDescent="0.3">
      <c r="C19" s="2" t="s">
        <v>57</v>
      </c>
      <c r="D19" s="236">
        <f t="shared" si="0"/>
        <v>63600</v>
      </c>
      <c r="E19" s="237"/>
      <c r="F19" s="237"/>
      <c r="G19" s="239">
        <f>'Budget Narrative'!G36</f>
        <v>28800</v>
      </c>
      <c r="H19" s="239">
        <f>'Budget Narrative'!H36</f>
        <v>0</v>
      </c>
      <c r="I19" s="239">
        <f>'Budget Narrative'!I36</f>
        <v>8700</v>
      </c>
      <c r="J19" s="239">
        <f>'Budget Narrative'!J36</f>
        <v>0</v>
      </c>
      <c r="K19" s="239">
        <f>'Budget Narrative'!K36</f>
        <v>8700</v>
      </c>
      <c r="L19" s="239">
        <f>'Budget Narrative'!L36</f>
        <v>0</v>
      </c>
      <c r="M19" s="239">
        <f>'Budget Narrative'!M36</f>
        <v>8700</v>
      </c>
      <c r="N19" s="239">
        <f>'Budget Narrative'!N36</f>
        <v>0</v>
      </c>
      <c r="O19" s="239">
        <f>'Budget Narrative'!O36</f>
        <v>8700</v>
      </c>
      <c r="P19" s="239">
        <f>'Budget Narrative'!P36</f>
        <v>0</v>
      </c>
    </row>
    <row r="20" spans="3:16" ht="16.5" thickBot="1" x14ac:dyDescent="0.3">
      <c r="C20" s="2" t="s">
        <v>58</v>
      </c>
      <c r="D20" s="236">
        <f t="shared" si="0"/>
        <v>400000</v>
      </c>
      <c r="E20" s="237"/>
      <c r="F20" s="237"/>
      <c r="G20" s="239">
        <f>'Budget Narrative'!G49</f>
        <v>80000</v>
      </c>
      <c r="H20" s="239">
        <f>'Budget Narrative'!H49</f>
        <v>0</v>
      </c>
      <c r="I20" s="239">
        <f>'Budget Narrative'!I49</f>
        <v>80000</v>
      </c>
      <c r="J20" s="239">
        <f>'Budget Narrative'!J49</f>
        <v>0</v>
      </c>
      <c r="K20" s="239">
        <f>'Budget Narrative'!K49</f>
        <v>80000</v>
      </c>
      <c r="L20" s="239">
        <f>'Budget Narrative'!L49</f>
        <v>0</v>
      </c>
      <c r="M20" s="239">
        <f>'Budget Narrative'!M49</f>
        <v>80000</v>
      </c>
      <c r="N20" s="239">
        <f>'Budget Narrative'!N49</f>
        <v>0</v>
      </c>
      <c r="O20" s="239">
        <f>'Budget Narrative'!O49</f>
        <v>80000</v>
      </c>
      <c r="P20" s="239">
        <f>'Budget Narrative'!P49</f>
        <v>0</v>
      </c>
    </row>
    <row r="21" spans="3:16" ht="16.5" thickBot="1" x14ac:dyDescent="0.3">
      <c r="C21" s="2" t="s">
        <v>36</v>
      </c>
      <c r="D21" s="236">
        <f t="shared" si="0"/>
        <v>0</v>
      </c>
      <c r="E21" s="237"/>
      <c r="F21" s="237"/>
      <c r="G21" s="239">
        <v>0</v>
      </c>
      <c r="H21" s="239">
        <v>0</v>
      </c>
      <c r="I21" s="239">
        <v>0</v>
      </c>
      <c r="J21" s="239">
        <v>0</v>
      </c>
      <c r="K21" s="239">
        <v>0</v>
      </c>
      <c r="L21" s="239">
        <v>0</v>
      </c>
      <c r="M21" s="239">
        <v>0</v>
      </c>
      <c r="N21" s="239">
        <v>0</v>
      </c>
      <c r="O21" s="240">
        <v>0</v>
      </c>
      <c r="P21" s="240">
        <v>0</v>
      </c>
    </row>
    <row r="22" spans="3:16" ht="16.5" thickBot="1" x14ac:dyDescent="0.3">
      <c r="C22" s="2" t="s">
        <v>38</v>
      </c>
      <c r="D22" s="236">
        <f t="shared" si="0"/>
        <v>36575454.367218882</v>
      </c>
      <c r="E22" s="237"/>
      <c r="F22" s="237"/>
      <c r="G22" s="239">
        <f>'Budget Narrative'!G58</f>
        <v>5718809.9603846157</v>
      </c>
      <c r="H22" s="239">
        <f>'Budget Narrative'!H58</f>
        <v>0</v>
      </c>
      <c r="I22" s="239">
        <f>'Budget Narrative'!I58</f>
        <v>7175137.0274538454</v>
      </c>
      <c r="J22" s="239">
        <f>'Budget Narrative'!J58</f>
        <v>0</v>
      </c>
      <c r="K22" s="239">
        <f>'Budget Narrative'!K58</f>
        <v>9092117.4004755374</v>
      </c>
      <c r="L22" s="239">
        <f>'Budget Narrative'!L58</f>
        <v>0</v>
      </c>
      <c r="M22" s="239">
        <f>'Budget Narrative'!M58</f>
        <v>7886374.6071977848</v>
      </c>
      <c r="N22" s="239">
        <f>'Budget Narrative'!N58</f>
        <v>0</v>
      </c>
      <c r="O22" s="239">
        <f>'Budget Narrative'!O58</f>
        <v>6703015.3717070986</v>
      </c>
      <c r="P22" s="239">
        <f>'Budget Narrative'!P58</f>
        <v>0</v>
      </c>
    </row>
    <row r="23" spans="3:16" ht="16.5" thickBot="1" x14ac:dyDescent="0.3">
      <c r="C23" s="2" t="s">
        <v>59</v>
      </c>
      <c r="D23" s="236">
        <f>SUM(D15:D22)</f>
        <v>38428981.698578313</v>
      </c>
      <c r="E23" s="237"/>
      <c r="F23" s="237"/>
      <c r="G23" s="239">
        <f>SUM(G15:G22)</f>
        <v>6079781.4123718655</v>
      </c>
      <c r="H23" s="239">
        <f t="shared" ref="H23:P23" si="1">SUM(H15:H22)</f>
        <v>0</v>
      </c>
      <c r="I23" s="239">
        <f t="shared" si="1"/>
        <v>7526713.3020404577</v>
      </c>
      <c r="J23" s="239">
        <f t="shared" si="1"/>
        <v>0</v>
      </c>
      <c r="K23" s="239">
        <f t="shared" si="1"/>
        <v>9454933.7387914807</v>
      </c>
      <c r="L23" s="239">
        <f t="shared" si="1"/>
        <v>0</v>
      </c>
      <c r="M23" s="239">
        <f t="shared" si="1"/>
        <v>8260993.0124295251</v>
      </c>
      <c r="N23" s="239">
        <f t="shared" si="1"/>
        <v>0</v>
      </c>
      <c r="O23" s="239">
        <f t="shared" si="1"/>
        <v>7106560.2329449812</v>
      </c>
      <c r="P23" s="239">
        <f t="shared" si="1"/>
        <v>0</v>
      </c>
    </row>
    <row r="24" spans="3:16" ht="16.5" thickBot="1" x14ac:dyDescent="0.3">
      <c r="C24" s="2" t="s">
        <v>60</v>
      </c>
      <c r="D24" s="236">
        <f t="shared" ref="D24" si="2">SUM(G24:P24)</f>
        <v>217552.73313594284</v>
      </c>
      <c r="E24" s="237"/>
      <c r="F24" s="237"/>
      <c r="G24" s="239">
        <f>'Budget Narrative'!G65</f>
        <v>42537.145198725004</v>
      </c>
      <c r="H24" s="239">
        <f>'Budget Narrative'!H65</f>
        <v>0</v>
      </c>
      <c r="I24" s="239">
        <f>'Budget Narrative'!I65</f>
        <v>41597.627458661249</v>
      </c>
      <c r="J24" s="239">
        <f>'Budget Narrative'!J65</f>
        <v>0</v>
      </c>
      <c r="K24" s="239">
        <f>'Budget Narrative'!K65</f>
        <v>42721.633831594314</v>
      </c>
      <c r="L24" s="239">
        <f>'Budget Narrative'!L65</f>
        <v>0</v>
      </c>
      <c r="M24" s="239">
        <f>'Budget Narrative'!M65</f>
        <v>43901.840523174033</v>
      </c>
      <c r="N24" s="239">
        <f>'Budget Narrative'!N65</f>
        <v>0</v>
      </c>
      <c r="O24" s="239">
        <f>'Budget Narrative'!O65</f>
        <v>46794.486123788229</v>
      </c>
      <c r="P24" s="239">
        <f>'Budget Narrative'!P65</f>
        <v>0</v>
      </c>
    </row>
    <row r="25" spans="3:16" ht="16.5" thickBot="1" x14ac:dyDescent="0.3">
      <c r="C25" s="6" t="s">
        <v>63</v>
      </c>
      <c r="D25" s="241">
        <f>SUM(D23:E24)</f>
        <v>38646534.431714259</v>
      </c>
      <c r="E25" s="237"/>
      <c r="F25" s="237"/>
      <c r="G25" s="241">
        <f>SUM(G23:G24)</f>
        <v>6122318.5575705906</v>
      </c>
      <c r="H25" s="241">
        <f t="shared" ref="H25:P25" si="3">SUM(H23:H24)</f>
        <v>0</v>
      </c>
      <c r="I25" s="241">
        <f t="shared" si="3"/>
        <v>7568310.9294991186</v>
      </c>
      <c r="J25" s="241">
        <f t="shared" si="3"/>
        <v>0</v>
      </c>
      <c r="K25" s="241">
        <f t="shared" si="3"/>
        <v>9497655.3726230748</v>
      </c>
      <c r="L25" s="241">
        <f t="shared" si="3"/>
        <v>0</v>
      </c>
      <c r="M25" s="241">
        <f t="shared" si="3"/>
        <v>8304894.8529526992</v>
      </c>
      <c r="N25" s="241">
        <f t="shared" si="3"/>
        <v>0</v>
      </c>
      <c r="O25" s="241">
        <f t="shared" si="3"/>
        <v>7153354.7190687694</v>
      </c>
      <c r="P25" s="241">
        <f t="shared" si="3"/>
        <v>0</v>
      </c>
    </row>
    <row r="27" spans="3:16" ht="15.75" x14ac:dyDescent="0.25">
      <c r="E27" s="20"/>
      <c r="F27" s="20"/>
      <c r="J27" s="23"/>
      <c r="K27" s="24"/>
      <c r="L27" s="24"/>
      <c r="M27" s="24"/>
      <c r="N27" s="24"/>
    </row>
    <row r="28" spans="3:16" ht="15.75" x14ac:dyDescent="0.25">
      <c r="E28" s="21"/>
      <c r="F28" s="21"/>
    </row>
    <row r="29" spans="3:16" ht="15.75" x14ac:dyDescent="0.25">
      <c r="E29" s="22"/>
      <c r="F29" s="22"/>
    </row>
    <row r="30" spans="3:16" ht="15.75" x14ac:dyDescent="0.25">
      <c r="E30" s="21"/>
      <c r="F30" s="21"/>
      <c r="O30" s="243"/>
    </row>
  </sheetData>
  <sheetProtection formatCells="0" formatColumns="0" formatRows="0" insertColumns="0" insertRows="0" insertHyperlinks="0" sort="0"/>
  <mergeCells count="10">
    <mergeCell ref="C5:D5"/>
    <mergeCell ref="C6:D6"/>
    <mergeCell ref="G13:H13"/>
    <mergeCell ref="I13:J13"/>
    <mergeCell ref="K13:L13"/>
    <mergeCell ref="O13:P13"/>
    <mergeCell ref="M13:N13"/>
    <mergeCell ref="M8:N8"/>
    <mergeCell ref="C14:D14"/>
    <mergeCell ref="C8:D8"/>
  </mergeCells>
  <pageMargins left="0.7" right="0.7" top="0.75" bottom="0.75" header="0.3" footer="0.3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24EF9-811C-46A2-A566-1040A8A23E9B}">
  <sheetPr>
    <pageSetUpPr fitToPage="1"/>
  </sheetPr>
  <dimension ref="B1:S204"/>
  <sheetViews>
    <sheetView topLeftCell="A41" zoomScale="80" zoomScaleNormal="80" workbookViewId="0">
      <selection activeCell="G47" sqref="G47:P47"/>
    </sheetView>
  </sheetViews>
  <sheetFormatPr defaultColWidth="3.85546875" defaultRowHeight="15" x14ac:dyDescent="0.25"/>
  <cols>
    <col min="2" max="2" width="32.28515625" customWidth="1"/>
    <col min="3" max="3" width="21.42578125" bestFit="1" customWidth="1"/>
    <col min="4" max="4" width="48.42578125" customWidth="1"/>
    <col min="5" max="5" width="46.28515625" bestFit="1" customWidth="1"/>
    <col min="6" max="6" width="21.140625" bestFit="1" customWidth="1"/>
    <col min="7" max="16" width="16.140625" customWidth="1"/>
    <col min="17" max="17" width="15.28515625" customWidth="1"/>
    <col min="18" max="18" width="15" bestFit="1" customWidth="1"/>
    <col min="19" max="19" width="13.140625" customWidth="1"/>
    <col min="20" max="20" width="15.140625" bestFit="1" customWidth="1"/>
  </cols>
  <sheetData>
    <row r="1" spans="2:18" ht="15.75" thickBot="1" x14ac:dyDescent="0.3">
      <c r="B1" s="10"/>
      <c r="C1" s="10"/>
      <c r="D1" s="10"/>
      <c r="E1" s="10"/>
      <c r="F1" s="10"/>
    </row>
    <row r="2" spans="2:18" ht="17.850000000000001" customHeight="1" thickBot="1" x14ac:dyDescent="0.3">
      <c r="B2" s="10"/>
      <c r="C2" s="10"/>
      <c r="D2" s="10"/>
      <c r="E2" s="34" t="s">
        <v>0</v>
      </c>
      <c r="F2" s="128" t="s">
        <v>114</v>
      </c>
      <c r="I2" s="262" t="s">
        <v>1</v>
      </c>
      <c r="J2" s="263"/>
      <c r="K2" s="258" t="s">
        <v>2</v>
      </c>
      <c r="L2" s="259"/>
      <c r="M2" s="89"/>
      <c r="N2" s="89"/>
    </row>
    <row r="3" spans="2:18" ht="24.75" customHeight="1" x14ac:dyDescent="0.25">
      <c r="B3" s="10"/>
      <c r="C3" s="10"/>
      <c r="D3" s="10"/>
      <c r="E3" s="10"/>
      <c r="F3" s="10"/>
      <c r="I3" s="64" t="s">
        <v>3</v>
      </c>
      <c r="J3" s="75">
        <f>F6+F9+F18+F24+F36+F49+F58+F65</f>
        <v>38646534.431714259</v>
      </c>
      <c r="K3" s="260"/>
      <c r="L3" s="261"/>
      <c r="M3" s="89"/>
      <c r="N3" s="89"/>
    </row>
    <row r="4" spans="2:18" ht="15.75" thickBot="1" x14ac:dyDescent="0.3">
      <c r="B4" s="10"/>
      <c r="C4" s="10"/>
      <c r="D4" s="10"/>
      <c r="E4" s="10"/>
      <c r="F4" s="10"/>
      <c r="I4" s="65" t="s">
        <v>4</v>
      </c>
      <c r="J4" s="76">
        <v>0</v>
      </c>
      <c r="K4" s="277" t="s">
        <v>147</v>
      </c>
      <c r="L4" s="278"/>
      <c r="M4" s="20"/>
      <c r="N4" s="20"/>
    </row>
    <row r="5" spans="2:18" ht="15" customHeight="1" x14ac:dyDescent="0.25">
      <c r="B5" s="279" t="s">
        <v>5</v>
      </c>
      <c r="C5" s="280"/>
      <c r="D5" s="280"/>
      <c r="E5" s="280"/>
      <c r="F5" s="282"/>
      <c r="I5" s="73" t="s">
        <v>88</v>
      </c>
      <c r="J5" s="77">
        <f>SUM(J3:J4)</f>
        <v>38646534.431714259</v>
      </c>
      <c r="K5" s="273" t="s">
        <v>6</v>
      </c>
      <c r="L5" s="274"/>
      <c r="M5" s="90"/>
      <c r="N5" s="90"/>
      <c r="Q5" s="40"/>
    </row>
    <row r="6" spans="2:18" ht="15.75" thickBot="1" x14ac:dyDescent="0.3">
      <c r="B6" s="289" t="s">
        <v>7</v>
      </c>
      <c r="C6" s="290"/>
      <c r="D6" s="291"/>
      <c r="E6" s="57"/>
      <c r="F6" s="127">
        <f>Staffing!L3</f>
        <v>784036.87000901112</v>
      </c>
      <c r="I6" s="48" t="s">
        <v>89</v>
      </c>
      <c r="J6" s="74">
        <f>J3/J5</f>
        <v>1</v>
      </c>
      <c r="K6" s="275" t="s">
        <v>147</v>
      </c>
      <c r="L6" s="276"/>
      <c r="M6" s="20"/>
      <c r="N6" s="20"/>
      <c r="P6" s="61"/>
      <c r="Q6" s="61"/>
      <c r="R6" s="79"/>
    </row>
    <row r="7" spans="2:18" ht="15.75" thickBot="1" x14ac:dyDescent="0.3">
      <c r="B7" s="7"/>
      <c r="C7" s="56"/>
      <c r="D7" s="56"/>
      <c r="E7" s="7"/>
      <c r="F7" s="9"/>
    </row>
    <row r="8" spans="2:18" ht="15.75" thickBot="1" x14ac:dyDescent="0.3">
      <c r="B8" s="279" t="s">
        <v>8</v>
      </c>
      <c r="C8" s="280"/>
      <c r="D8" s="280"/>
      <c r="E8" s="280"/>
      <c r="F8" s="280"/>
      <c r="G8" s="264" t="s">
        <v>9</v>
      </c>
      <c r="H8" s="265"/>
      <c r="I8" s="265"/>
      <c r="J8" s="265"/>
      <c r="K8" s="265"/>
      <c r="L8" s="266"/>
      <c r="M8" s="7"/>
      <c r="N8" s="7"/>
    </row>
    <row r="9" spans="2:18" x14ac:dyDescent="0.25">
      <c r="B9" s="289" t="s">
        <v>10</v>
      </c>
      <c r="C9" s="290"/>
      <c r="D9" s="291"/>
      <c r="E9" s="57"/>
      <c r="F9" s="129">
        <f>Staffing!L4</f>
        <v>415515.46135041711</v>
      </c>
      <c r="G9" s="267" t="s">
        <v>223</v>
      </c>
      <c r="H9" s="268"/>
      <c r="I9" s="268"/>
      <c r="J9" s="268"/>
      <c r="K9" s="268"/>
      <c r="L9" s="269"/>
      <c r="M9" s="91"/>
      <c r="N9" s="91"/>
    </row>
    <row r="10" spans="2:18" ht="15.75" thickBot="1" x14ac:dyDescent="0.3">
      <c r="B10" s="7"/>
      <c r="C10" s="7"/>
      <c r="D10" s="7"/>
      <c r="E10" s="7"/>
      <c r="F10" s="9"/>
      <c r="G10" s="270"/>
      <c r="H10" s="271"/>
      <c r="I10" s="271"/>
      <c r="J10" s="271"/>
      <c r="K10" s="271"/>
      <c r="L10" s="272"/>
      <c r="M10" s="91"/>
      <c r="N10" s="91"/>
    </row>
    <row r="11" spans="2:18" x14ac:dyDescent="0.25">
      <c r="B11" s="279" t="s">
        <v>11</v>
      </c>
      <c r="C11" s="280"/>
      <c r="D11" s="280"/>
      <c r="E11" s="280"/>
      <c r="F11" s="282"/>
      <c r="G11" s="287" t="s">
        <v>12</v>
      </c>
      <c r="H11" s="287"/>
      <c r="I11" s="287" t="s">
        <v>13</v>
      </c>
      <c r="J11" s="287"/>
      <c r="K11" s="287" t="s">
        <v>14</v>
      </c>
      <c r="L11" s="287"/>
      <c r="M11" s="253" t="s">
        <v>15</v>
      </c>
      <c r="N11" s="253"/>
      <c r="O11" s="253" t="s">
        <v>93</v>
      </c>
      <c r="P11" s="253"/>
    </row>
    <row r="12" spans="2:18" x14ac:dyDescent="0.25">
      <c r="B12" s="35" t="s">
        <v>16</v>
      </c>
      <c r="C12" s="35" t="s">
        <v>17</v>
      </c>
      <c r="D12" s="35" t="s">
        <v>18</v>
      </c>
      <c r="E12" s="35" t="s">
        <v>9</v>
      </c>
      <c r="F12" s="35" t="s">
        <v>19</v>
      </c>
      <c r="G12" s="12" t="s">
        <v>20</v>
      </c>
      <c r="H12" s="12" t="s">
        <v>21</v>
      </c>
      <c r="I12" s="12" t="s">
        <v>20</v>
      </c>
      <c r="J12" s="12" t="s">
        <v>21</v>
      </c>
      <c r="K12" s="12" t="s">
        <v>20</v>
      </c>
      <c r="L12" s="12" t="s">
        <v>21</v>
      </c>
      <c r="M12" s="12" t="s">
        <v>20</v>
      </c>
      <c r="N12" s="12" t="s">
        <v>21</v>
      </c>
      <c r="O12" s="12" t="s">
        <v>20</v>
      </c>
      <c r="P12" s="12" t="s">
        <v>21</v>
      </c>
    </row>
    <row r="13" spans="2:18" ht="15.75" x14ac:dyDescent="0.25">
      <c r="B13" s="30" t="str">
        <f>'Travel detail'!A3</f>
        <v>Quarter 1</v>
      </c>
      <c r="C13" s="301" t="s">
        <v>112</v>
      </c>
      <c r="D13" s="302"/>
      <c r="E13" s="303"/>
      <c r="F13" s="36">
        <f>SUM(G13:P13)</f>
        <v>46800</v>
      </c>
      <c r="G13" s="31">
        <f>'Travel detail'!J7</f>
        <v>9360</v>
      </c>
      <c r="H13" s="32"/>
      <c r="I13" s="31">
        <f>G13</f>
        <v>9360</v>
      </c>
      <c r="J13" s="32"/>
      <c r="K13" s="32">
        <f>G13</f>
        <v>9360</v>
      </c>
      <c r="L13" s="32"/>
      <c r="M13" s="19">
        <f>G13</f>
        <v>9360</v>
      </c>
      <c r="N13" s="52"/>
      <c r="O13" s="19">
        <f>G13</f>
        <v>9360</v>
      </c>
      <c r="P13" s="52"/>
      <c r="Q13" s="61"/>
    </row>
    <row r="14" spans="2:18" ht="15.75" x14ac:dyDescent="0.25">
      <c r="B14" s="30" t="str">
        <f>'Travel detail'!A10</f>
        <v>Quarter 2</v>
      </c>
      <c r="C14" s="301" t="s">
        <v>112</v>
      </c>
      <c r="D14" s="302"/>
      <c r="E14" s="303"/>
      <c r="F14" s="36">
        <f t="shared" ref="F14:F17" si="0">SUM(G14:P14)</f>
        <v>46800</v>
      </c>
      <c r="G14" s="31">
        <f>'Travel detail'!J15</f>
        <v>9360</v>
      </c>
      <c r="H14" s="32"/>
      <c r="I14" s="31">
        <f t="shared" ref="I14:I17" si="1">G14</f>
        <v>9360</v>
      </c>
      <c r="J14" s="32"/>
      <c r="K14" s="32">
        <f t="shared" ref="K14:K17" si="2">G14</f>
        <v>9360</v>
      </c>
      <c r="L14" s="32"/>
      <c r="M14" s="19">
        <f t="shared" ref="M14:M17" si="3">G14</f>
        <v>9360</v>
      </c>
      <c r="N14" s="52"/>
      <c r="O14" s="19">
        <f t="shared" ref="O14:O17" si="4">G14</f>
        <v>9360</v>
      </c>
      <c r="P14" s="52"/>
    </row>
    <row r="15" spans="2:18" ht="15.75" x14ac:dyDescent="0.25">
      <c r="B15" s="30" t="str">
        <f>'Travel detail'!A18</f>
        <v>Quarter 3</v>
      </c>
      <c r="C15" s="301" t="s">
        <v>112</v>
      </c>
      <c r="D15" s="302"/>
      <c r="E15" s="303"/>
      <c r="F15" s="36">
        <f t="shared" si="0"/>
        <v>46800</v>
      </c>
      <c r="G15" s="31">
        <f>'Travel detail'!J23</f>
        <v>9360</v>
      </c>
      <c r="H15" s="32"/>
      <c r="I15" s="31">
        <f t="shared" si="1"/>
        <v>9360</v>
      </c>
      <c r="J15" s="32"/>
      <c r="K15" s="32">
        <f t="shared" si="2"/>
        <v>9360</v>
      </c>
      <c r="L15" s="32"/>
      <c r="M15" s="19">
        <f t="shared" si="3"/>
        <v>9360</v>
      </c>
      <c r="N15" s="52"/>
      <c r="O15" s="19">
        <f t="shared" si="4"/>
        <v>9360</v>
      </c>
      <c r="P15" s="52"/>
    </row>
    <row r="16" spans="2:18" ht="15.75" x14ac:dyDescent="0.25">
      <c r="B16" s="30" t="str">
        <f>'Travel detail'!A26</f>
        <v>Quarter 4</v>
      </c>
      <c r="C16" s="301" t="s">
        <v>112</v>
      </c>
      <c r="D16" s="302"/>
      <c r="E16" s="303"/>
      <c r="F16" s="36">
        <f t="shared" si="0"/>
        <v>33100</v>
      </c>
      <c r="G16" s="31">
        <f>'Travel detail'!J31</f>
        <v>6620</v>
      </c>
      <c r="H16" s="32"/>
      <c r="I16" s="31">
        <f t="shared" si="1"/>
        <v>6620</v>
      </c>
      <c r="J16" s="32"/>
      <c r="K16" s="32">
        <f t="shared" si="2"/>
        <v>6620</v>
      </c>
      <c r="L16" s="32"/>
      <c r="M16" s="19">
        <f t="shared" si="3"/>
        <v>6620</v>
      </c>
      <c r="N16" s="52"/>
      <c r="O16" s="19">
        <f t="shared" si="4"/>
        <v>6620</v>
      </c>
      <c r="P16" s="52"/>
    </row>
    <row r="17" spans="2:16" s="43" customFormat="1" ht="21" customHeight="1" x14ac:dyDescent="0.25">
      <c r="B17" s="70" t="s">
        <v>172</v>
      </c>
      <c r="C17" s="301" t="s">
        <v>112</v>
      </c>
      <c r="D17" s="302"/>
      <c r="E17" s="303"/>
      <c r="F17" s="36">
        <f t="shared" si="0"/>
        <v>16875</v>
      </c>
      <c r="G17" s="31">
        <f>'Travel detail'!J38</f>
        <v>3375</v>
      </c>
      <c r="H17" s="42"/>
      <c r="I17" s="31">
        <f t="shared" si="1"/>
        <v>3375</v>
      </c>
      <c r="J17" s="42"/>
      <c r="K17" s="32">
        <f t="shared" si="2"/>
        <v>3375</v>
      </c>
      <c r="L17" s="42"/>
      <c r="M17" s="19">
        <f t="shared" si="3"/>
        <v>3375</v>
      </c>
      <c r="N17" s="50"/>
      <c r="O17" s="19">
        <f t="shared" si="4"/>
        <v>3375</v>
      </c>
      <c r="P17" s="50"/>
    </row>
    <row r="18" spans="2:16" ht="21.75" customHeight="1" x14ac:dyDescent="0.25">
      <c r="B18" s="289" t="s">
        <v>23</v>
      </c>
      <c r="C18" s="290"/>
      <c r="D18" s="291"/>
      <c r="E18" s="58"/>
      <c r="F18" s="130">
        <f>SUM(F13:F17)</f>
        <v>190375</v>
      </c>
      <c r="G18" s="38">
        <f>SUM(G13:G17)</f>
        <v>38075</v>
      </c>
      <c r="H18" s="38">
        <f t="shared" ref="H18:P18" si="5">SUM(H13:H17)</f>
        <v>0</v>
      </c>
      <c r="I18" s="38">
        <f t="shared" si="5"/>
        <v>38075</v>
      </c>
      <c r="J18" s="38">
        <f t="shared" si="5"/>
        <v>0</v>
      </c>
      <c r="K18" s="38">
        <f t="shared" si="5"/>
        <v>38075</v>
      </c>
      <c r="L18" s="38">
        <f t="shared" si="5"/>
        <v>0</v>
      </c>
      <c r="M18" s="38">
        <f t="shared" si="5"/>
        <v>38075</v>
      </c>
      <c r="N18" s="38">
        <f t="shared" si="5"/>
        <v>0</v>
      </c>
      <c r="O18" s="38">
        <f t="shared" si="5"/>
        <v>38075</v>
      </c>
      <c r="P18" s="38">
        <f t="shared" si="5"/>
        <v>0</v>
      </c>
    </row>
    <row r="19" spans="2:16" x14ac:dyDescent="0.25">
      <c r="B19" s="7"/>
      <c r="C19" s="7"/>
      <c r="D19" s="7"/>
      <c r="E19" s="7"/>
      <c r="F19" s="8"/>
    </row>
    <row r="20" spans="2:16" ht="15" customHeight="1" x14ac:dyDescent="0.25">
      <c r="B20" s="279" t="s">
        <v>24</v>
      </c>
      <c r="C20" s="280"/>
      <c r="D20" s="280"/>
      <c r="E20" s="280"/>
      <c r="F20" s="282"/>
      <c r="G20" s="253" t="s">
        <v>12</v>
      </c>
      <c r="H20" s="253"/>
      <c r="I20" s="253" t="s">
        <v>13</v>
      </c>
      <c r="J20" s="253"/>
      <c r="K20" s="253" t="s">
        <v>14</v>
      </c>
      <c r="L20" s="253"/>
      <c r="M20" s="253" t="s">
        <v>15</v>
      </c>
      <c r="N20" s="253"/>
      <c r="O20" s="253" t="s">
        <v>93</v>
      </c>
      <c r="P20" s="253"/>
    </row>
    <row r="21" spans="2:16" x14ac:dyDescent="0.25">
      <c r="B21" s="5" t="s">
        <v>25</v>
      </c>
      <c r="C21" s="5" t="s">
        <v>26</v>
      </c>
      <c r="D21" s="5" t="s">
        <v>18</v>
      </c>
      <c r="E21" s="5" t="s">
        <v>9</v>
      </c>
      <c r="F21" s="5" t="s">
        <v>19</v>
      </c>
      <c r="G21" s="12" t="s">
        <v>20</v>
      </c>
      <c r="H21" s="12" t="s">
        <v>21</v>
      </c>
      <c r="I21" s="12" t="s">
        <v>20</v>
      </c>
      <c r="J21" s="12" t="s">
        <v>21</v>
      </c>
      <c r="K21" s="12" t="s">
        <v>20</v>
      </c>
      <c r="L21" s="12" t="s">
        <v>21</v>
      </c>
      <c r="M21" s="12" t="s">
        <v>20</v>
      </c>
      <c r="N21" s="12" t="s">
        <v>21</v>
      </c>
      <c r="O21" s="12" t="s">
        <v>20</v>
      </c>
      <c r="P21" s="12" t="s">
        <v>21</v>
      </c>
    </row>
    <row r="22" spans="2:16" x14ac:dyDescent="0.25">
      <c r="B22" s="70"/>
      <c r="C22" s="70"/>
      <c r="D22" s="70"/>
      <c r="E22" s="70"/>
      <c r="F22" s="66">
        <f t="shared" ref="F22:F23" si="6">SUM(G22:P22)</f>
        <v>0</v>
      </c>
      <c r="G22" s="42"/>
      <c r="H22" s="12"/>
      <c r="I22" s="12"/>
      <c r="J22" s="12"/>
      <c r="K22" s="12"/>
      <c r="L22" s="12"/>
      <c r="M22" s="12"/>
      <c r="N22" s="12"/>
      <c r="O22" s="12"/>
      <c r="P22" s="12"/>
    </row>
    <row r="23" spans="2:16" x14ac:dyDescent="0.25">
      <c r="B23" s="70"/>
      <c r="C23" s="70"/>
      <c r="D23" s="72"/>
      <c r="E23" s="70"/>
      <c r="F23" s="66">
        <f t="shared" si="6"/>
        <v>0</v>
      </c>
      <c r="G23" s="42"/>
      <c r="H23" s="32"/>
      <c r="I23" s="32"/>
      <c r="J23" s="32"/>
      <c r="K23" s="32"/>
      <c r="L23" s="32"/>
      <c r="M23" s="19"/>
      <c r="N23" s="19"/>
      <c r="O23" s="19"/>
      <c r="P23" s="19"/>
    </row>
    <row r="24" spans="2:16" x14ac:dyDescent="0.25">
      <c r="B24" s="289" t="s">
        <v>27</v>
      </c>
      <c r="C24" s="290"/>
      <c r="D24" s="291"/>
      <c r="E24" s="57"/>
      <c r="F24" s="131">
        <f>SUM(F22:F23)</f>
        <v>0</v>
      </c>
      <c r="G24" s="36">
        <f>SUM(G22:G23)</f>
        <v>0</v>
      </c>
      <c r="H24" s="36">
        <f t="shared" ref="H24:P24" si="7">SUM(H23:H23)</f>
        <v>0</v>
      </c>
      <c r="I24" s="36">
        <f t="shared" si="7"/>
        <v>0</v>
      </c>
      <c r="J24" s="36">
        <f t="shared" si="7"/>
        <v>0</v>
      </c>
      <c r="K24" s="36">
        <f t="shared" si="7"/>
        <v>0</v>
      </c>
      <c r="L24" s="36">
        <f t="shared" si="7"/>
        <v>0</v>
      </c>
      <c r="M24" s="36">
        <f t="shared" ref="M24:N24" si="8">SUM(M23:M23)</f>
        <v>0</v>
      </c>
      <c r="N24" s="36">
        <f t="shared" si="8"/>
        <v>0</v>
      </c>
      <c r="O24" s="36">
        <f t="shared" si="7"/>
        <v>0</v>
      </c>
      <c r="P24" s="36">
        <f t="shared" si="7"/>
        <v>0</v>
      </c>
    </row>
    <row r="26" spans="2:16" ht="15" customHeight="1" x14ac:dyDescent="0.25">
      <c r="B26" s="281" t="s">
        <v>87</v>
      </c>
      <c r="C26" s="280"/>
      <c r="D26" s="280"/>
      <c r="E26" s="280"/>
      <c r="F26" s="282"/>
      <c r="G26" s="253" t="s">
        <v>12</v>
      </c>
      <c r="H26" s="253"/>
      <c r="I26" s="253" t="s">
        <v>13</v>
      </c>
      <c r="J26" s="253"/>
      <c r="K26" s="253" t="s">
        <v>14</v>
      </c>
      <c r="L26" s="253"/>
      <c r="M26" s="253" t="s">
        <v>15</v>
      </c>
      <c r="N26" s="253"/>
      <c r="O26" s="253" t="s">
        <v>93</v>
      </c>
      <c r="P26" s="253"/>
    </row>
    <row r="27" spans="2:16" s="43" customFormat="1" ht="28.5" customHeight="1" x14ac:dyDescent="0.25">
      <c r="B27" s="28" t="s">
        <v>28</v>
      </c>
      <c r="C27" s="28" t="s">
        <v>26</v>
      </c>
      <c r="D27" s="28" t="s">
        <v>18</v>
      </c>
      <c r="E27" s="28" t="s">
        <v>9</v>
      </c>
      <c r="F27" s="28" t="s">
        <v>19</v>
      </c>
      <c r="G27" s="71" t="s">
        <v>20</v>
      </c>
      <c r="H27" s="71" t="s">
        <v>21</v>
      </c>
      <c r="I27" s="71" t="s">
        <v>20</v>
      </c>
      <c r="J27" s="71" t="s">
        <v>21</v>
      </c>
      <c r="K27" s="71" t="s">
        <v>20</v>
      </c>
      <c r="L27" s="71" t="s">
        <v>21</v>
      </c>
      <c r="M27" s="71" t="s">
        <v>20</v>
      </c>
      <c r="N27" s="71" t="s">
        <v>21</v>
      </c>
      <c r="O27" s="71" t="s">
        <v>20</v>
      </c>
      <c r="P27" s="71" t="s">
        <v>21</v>
      </c>
    </row>
    <row r="28" spans="2:16" s="43" customFormat="1" ht="28.5" customHeight="1" x14ac:dyDescent="0.25">
      <c r="B28" s="70" t="s">
        <v>69</v>
      </c>
      <c r="C28" s="70" t="s">
        <v>178</v>
      </c>
      <c r="D28" s="70" t="s">
        <v>146</v>
      </c>
      <c r="E28" s="70" t="s">
        <v>175</v>
      </c>
      <c r="F28" s="82">
        <f>SUM(G28:P28)</f>
        <v>7200</v>
      </c>
      <c r="G28" s="83">
        <f>3*2400</f>
        <v>7200</v>
      </c>
      <c r="H28" s="84"/>
      <c r="I28" s="84"/>
      <c r="J28" s="84"/>
      <c r="K28" s="84"/>
      <c r="L28" s="84"/>
      <c r="M28" s="85"/>
      <c r="N28" s="85"/>
      <c r="O28" s="85"/>
      <c r="P28" s="85"/>
    </row>
    <row r="29" spans="2:16" s="43" customFormat="1" ht="28.5" customHeight="1" x14ac:dyDescent="0.25">
      <c r="B29" s="70" t="s">
        <v>71</v>
      </c>
      <c r="C29" s="70" t="s">
        <v>179</v>
      </c>
      <c r="D29" s="70" t="s">
        <v>145</v>
      </c>
      <c r="E29" s="70" t="s">
        <v>175</v>
      </c>
      <c r="F29" s="82">
        <f t="shared" ref="F29:F35" si="9">SUM(G29:P29)</f>
        <v>9000</v>
      </c>
      <c r="G29" s="83">
        <v>9000</v>
      </c>
      <c r="H29" s="84"/>
      <c r="I29" s="84"/>
      <c r="J29" s="84"/>
      <c r="K29" s="84"/>
      <c r="L29" s="84"/>
      <c r="M29" s="85"/>
      <c r="N29" s="85"/>
      <c r="O29" s="85"/>
      <c r="P29" s="85"/>
    </row>
    <row r="30" spans="2:16" s="43" customFormat="1" ht="28.5" customHeight="1" x14ac:dyDescent="0.25">
      <c r="B30" s="70" t="s">
        <v>151</v>
      </c>
      <c r="C30" s="70" t="s">
        <v>180</v>
      </c>
      <c r="D30" s="70" t="s">
        <v>152</v>
      </c>
      <c r="E30" s="70" t="s">
        <v>175</v>
      </c>
      <c r="F30" s="82">
        <f t="shared" si="9"/>
        <v>2700</v>
      </c>
      <c r="G30" s="84">
        <f>6*450</f>
        <v>2700</v>
      </c>
      <c r="H30" s="84"/>
      <c r="I30" s="84"/>
      <c r="J30" s="84"/>
      <c r="K30" s="84"/>
      <c r="L30" s="84"/>
      <c r="M30" s="85"/>
      <c r="N30" s="85"/>
      <c r="O30" s="85"/>
      <c r="P30" s="85"/>
    </row>
    <row r="31" spans="2:16" s="43" customFormat="1" ht="28.5" customHeight="1" x14ac:dyDescent="0.25">
      <c r="B31" s="70" t="s">
        <v>70</v>
      </c>
      <c r="C31" s="70" t="s">
        <v>181</v>
      </c>
      <c r="D31" s="70" t="s">
        <v>144</v>
      </c>
      <c r="E31" s="70" t="s">
        <v>173</v>
      </c>
      <c r="F31" s="82">
        <f t="shared" si="9"/>
        <v>1200</v>
      </c>
      <c r="G31" s="84">
        <v>1200</v>
      </c>
      <c r="H31" s="84"/>
      <c r="I31" s="84"/>
      <c r="J31" s="84"/>
      <c r="K31" s="84"/>
      <c r="L31" s="84"/>
      <c r="M31" s="84"/>
      <c r="N31" s="85"/>
      <c r="O31" s="84"/>
      <c r="P31" s="85"/>
    </row>
    <row r="32" spans="2:16" s="43" customFormat="1" ht="28.5" customHeight="1" x14ac:dyDescent="0.25">
      <c r="B32" s="70" t="s">
        <v>98</v>
      </c>
      <c r="C32" s="70" t="s">
        <v>142</v>
      </c>
      <c r="D32" s="70" t="s">
        <v>149</v>
      </c>
      <c r="E32" s="70" t="s">
        <v>174</v>
      </c>
      <c r="F32" s="82">
        <f t="shared" si="9"/>
        <v>21000</v>
      </c>
      <c r="G32" s="84">
        <f>3*1400</f>
        <v>4200</v>
      </c>
      <c r="H32" s="84"/>
      <c r="I32" s="84">
        <f>3*1400</f>
        <v>4200</v>
      </c>
      <c r="J32" s="84"/>
      <c r="K32" s="84">
        <f>3*1400</f>
        <v>4200</v>
      </c>
      <c r="L32" s="84"/>
      <c r="M32" s="84">
        <f>3*1400</f>
        <v>4200</v>
      </c>
      <c r="N32" s="85"/>
      <c r="O32" s="84">
        <f>3*1400</f>
        <v>4200</v>
      </c>
      <c r="P32" s="85"/>
    </row>
    <row r="33" spans="2:16" s="43" customFormat="1" ht="28.5" customHeight="1" x14ac:dyDescent="0.25">
      <c r="B33" s="70" t="s">
        <v>99</v>
      </c>
      <c r="C33" s="70" t="s">
        <v>105</v>
      </c>
      <c r="D33" s="70" t="s">
        <v>143</v>
      </c>
      <c r="E33" s="70" t="s">
        <v>176</v>
      </c>
      <c r="F33" s="82">
        <f t="shared" si="9"/>
        <v>10000</v>
      </c>
      <c r="G33" s="84">
        <v>2000</v>
      </c>
      <c r="H33" s="84"/>
      <c r="I33" s="84">
        <v>2000</v>
      </c>
      <c r="J33" s="84"/>
      <c r="K33" s="84">
        <v>2000</v>
      </c>
      <c r="L33" s="84"/>
      <c r="M33" s="84">
        <v>2000</v>
      </c>
      <c r="N33" s="85"/>
      <c r="O33" s="84">
        <v>2000</v>
      </c>
      <c r="P33" s="85"/>
    </row>
    <row r="34" spans="2:16" s="43" customFormat="1" ht="34.5" customHeight="1" x14ac:dyDescent="0.25">
      <c r="B34" s="70" t="s">
        <v>103</v>
      </c>
      <c r="C34" s="70" t="s">
        <v>150</v>
      </c>
      <c r="D34" s="72" t="s">
        <v>104</v>
      </c>
      <c r="E34" s="70" t="s">
        <v>177</v>
      </c>
      <c r="F34" s="82">
        <f t="shared" si="9"/>
        <v>12500</v>
      </c>
      <c r="G34" s="84">
        <v>2500</v>
      </c>
      <c r="H34" s="84"/>
      <c r="I34" s="84">
        <v>2500</v>
      </c>
      <c r="J34" s="84"/>
      <c r="K34" s="84">
        <v>2500</v>
      </c>
      <c r="L34" s="84"/>
      <c r="M34" s="84">
        <v>2500</v>
      </c>
      <c r="N34" s="85"/>
      <c r="O34" s="84">
        <v>2500</v>
      </c>
      <c r="P34" s="85"/>
    </row>
    <row r="35" spans="2:16" s="43" customFormat="1" ht="26.25" customHeight="1" x14ac:dyDescent="0.25">
      <c r="B35" s="70"/>
      <c r="C35" s="70"/>
      <c r="D35" s="72"/>
      <c r="E35" s="70"/>
      <c r="F35" s="82">
        <f t="shared" si="9"/>
        <v>0</v>
      </c>
      <c r="G35" s="84"/>
      <c r="H35" s="84"/>
      <c r="I35" s="84"/>
      <c r="J35" s="84"/>
      <c r="K35" s="84"/>
      <c r="L35" s="84"/>
      <c r="M35" s="84"/>
      <c r="N35" s="85"/>
      <c r="O35" s="84"/>
      <c r="P35" s="85"/>
    </row>
    <row r="36" spans="2:16" x14ac:dyDescent="0.25">
      <c r="B36" s="289" t="s">
        <v>29</v>
      </c>
      <c r="C36" s="290"/>
      <c r="D36" s="291"/>
      <c r="E36" s="57"/>
      <c r="F36" s="132">
        <f>SUM(F28:F35)</f>
        <v>63600</v>
      </c>
      <c r="G36" s="86">
        <f t="shared" ref="G36:P36" si="10">SUM(G28:G35)</f>
        <v>28800</v>
      </c>
      <c r="H36" s="86">
        <f t="shared" si="10"/>
        <v>0</v>
      </c>
      <c r="I36" s="86">
        <f t="shared" si="10"/>
        <v>8700</v>
      </c>
      <c r="J36" s="86">
        <f t="shared" si="10"/>
        <v>0</v>
      </c>
      <c r="K36" s="86">
        <f t="shared" si="10"/>
        <v>8700</v>
      </c>
      <c r="L36" s="86">
        <f t="shared" si="10"/>
        <v>0</v>
      </c>
      <c r="M36" s="86">
        <f t="shared" ref="M36:N36" si="11">SUM(M28:M35)</f>
        <v>8700</v>
      </c>
      <c r="N36" s="86">
        <f t="shared" si="11"/>
        <v>0</v>
      </c>
      <c r="O36" s="86">
        <f t="shared" si="10"/>
        <v>8700</v>
      </c>
      <c r="P36" s="86">
        <f t="shared" si="10"/>
        <v>0</v>
      </c>
    </row>
    <row r="38" spans="2:16" ht="39.75" customHeight="1" x14ac:dyDescent="0.25">
      <c r="B38" s="281" t="s">
        <v>30</v>
      </c>
      <c r="C38" s="280"/>
      <c r="D38" s="280"/>
      <c r="E38" s="280"/>
      <c r="F38" s="282"/>
      <c r="G38" s="253" t="s">
        <v>12</v>
      </c>
      <c r="H38" s="253"/>
      <c r="I38" s="253" t="s">
        <v>13</v>
      </c>
      <c r="J38" s="253"/>
      <c r="K38" s="253" t="s">
        <v>14</v>
      </c>
      <c r="L38" s="253"/>
      <c r="M38" s="253" t="s">
        <v>15</v>
      </c>
      <c r="N38" s="253"/>
      <c r="O38" s="253" t="s">
        <v>93</v>
      </c>
      <c r="P38" s="253"/>
    </row>
    <row r="39" spans="2:16" x14ac:dyDescent="0.25">
      <c r="B39" s="5" t="s">
        <v>31</v>
      </c>
      <c r="C39" s="5" t="s">
        <v>32</v>
      </c>
      <c r="D39" s="5" t="s">
        <v>67</v>
      </c>
      <c r="E39" s="5" t="s">
        <v>33</v>
      </c>
      <c r="F39" s="5" t="s">
        <v>19</v>
      </c>
      <c r="G39" s="12" t="s">
        <v>20</v>
      </c>
      <c r="H39" s="12" t="s">
        <v>21</v>
      </c>
      <c r="I39" s="12" t="s">
        <v>20</v>
      </c>
      <c r="J39" s="12" t="s">
        <v>21</v>
      </c>
      <c r="K39" s="12" t="s">
        <v>20</v>
      </c>
      <c r="L39" s="12" t="s">
        <v>21</v>
      </c>
      <c r="M39" s="12" t="s">
        <v>20</v>
      </c>
      <c r="N39" s="12" t="s">
        <v>21</v>
      </c>
      <c r="O39" s="12" t="s">
        <v>20</v>
      </c>
      <c r="P39" s="12" t="s">
        <v>21</v>
      </c>
    </row>
    <row r="40" spans="2:16" ht="28.5" customHeight="1" x14ac:dyDescent="0.25">
      <c r="B40" s="41" t="s">
        <v>73</v>
      </c>
      <c r="C40" s="49" t="s">
        <v>53</v>
      </c>
      <c r="D40" s="50" t="s">
        <v>73</v>
      </c>
      <c r="E40" s="51" t="s">
        <v>74</v>
      </c>
      <c r="F40" s="92">
        <f>SUM(G40:P40)</f>
        <v>15000</v>
      </c>
      <c r="G40" s="47">
        <v>3000</v>
      </c>
      <c r="H40" s="47"/>
      <c r="I40" s="47">
        <v>3000</v>
      </c>
      <c r="J40" s="92"/>
      <c r="K40" s="47">
        <v>3000</v>
      </c>
      <c r="L40" s="92"/>
      <c r="M40" s="47">
        <v>3000</v>
      </c>
      <c r="N40" s="93"/>
      <c r="O40" s="47">
        <v>3000</v>
      </c>
      <c r="P40" s="93"/>
    </row>
    <row r="41" spans="2:16" ht="28.5" customHeight="1" x14ac:dyDescent="0.25">
      <c r="B41" s="41" t="s">
        <v>73</v>
      </c>
      <c r="C41" s="53" t="s">
        <v>53</v>
      </c>
      <c r="D41" s="54" t="s">
        <v>73</v>
      </c>
      <c r="E41" s="30" t="s">
        <v>75</v>
      </c>
      <c r="F41" s="92">
        <f t="shared" ref="F41:F48" si="12">SUM(G41:P41)</f>
        <v>30000</v>
      </c>
      <c r="G41" s="46">
        <f>(2*250)*12</f>
        <v>6000</v>
      </c>
      <c r="H41" s="94"/>
      <c r="I41" s="46">
        <f>(2*250)*12</f>
        <v>6000</v>
      </c>
      <c r="J41" s="92"/>
      <c r="K41" s="46">
        <f>(2*250)*12</f>
        <v>6000</v>
      </c>
      <c r="L41" s="92"/>
      <c r="M41" s="46">
        <f>(2*250)*12</f>
        <v>6000</v>
      </c>
      <c r="N41" s="93"/>
      <c r="O41" s="46">
        <f>(2*250)*12</f>
        <v>6000</v>
      </c>
      <c r="P41" s="93"/>
    </row>
    <row r="42" spans="2:16" ht="28.5" customHeight="1" x14ac:dyDescent="0.25">
      <c r="B42" s="41" t="s">
        <v>73</v>
      </c>
      <c r="C42" s="53" t="s">
        <v>53</v>
      </c>
      <c r="D42" s="55" t="s">
        <v>73</v>
      </c>
      <c r="E42" s="30" t="s">
        <v>76</v>
      </c>
      <c r="F42" s="92">
        <f t="shared" si="12"/>
        <v>25000</v>
      </c>
      <c r="G42" s="45">
        <v>5000</v>
      </c>
      <c r="H42" s="92"/>
      <c r="I42" s="45">
        <v>5000</v>
      </c>
      <c r="J42" s="92"/>
      <c r="K42" s="45">
        <v>5000</v>
      </c>
      <c r="L42" s="92"/>
      <c r="M42" s="45">
        <v>5000</v>
      </c>
      <c r="N42" s="93"/>
      <c r="O42" s="45">
        <v>5000</v>
      </c>
      <c r="P42" s="93"/>
    </row>
    <row r="43" spans="2:16" ht="28.5" customHeight="1" x14ac:dyDescent="0.25">
      <c r="B43" s="41" t="s">
        <v>73</v>
      </c>
      <c r="C43" s="53" t="s">
        <v>53</v>
      </c>
      <c r="D43" s="55" t="s">
        <v>73</v>
      </c>
      <c r="E43" s="30" t="s">
        <v>153</v>
      </c>
      <c r="F43" s="92">
        <f t="shared" si="12"/>
        <v>25000</v>
      </c>
      <c r="G43" s="45">
        <v>5000</v>
      </c>
      <c r="H43" s="92"/>
      <c r="I43" s="45">
        <v>5000</v>
      </c>
      <c r="J43" s="92"/>
      <c r="K43" s="45">
        <v>5000</v>
      </c>
      <c r="L43" s="92"/>
      <c r="M43" s="45">
        <v>5000</v>
      </c>
      <c r="N43" s="93"/>
      <c r="O43" s="45">
        <v>5000</v>
      </c>
      <c r="P43" s="93"/>
    </row>
    <row r="44" spans="2:16" ht="28.5" customHeight="1" x14ac:dyDescent="0.25">
      <c r="B44" s="41" t="s">
        <v>73</v>
      </c>
      <c r="C44" s="53" t="s">
        <v>53</v>
      </c>
      <c r="D44" s="55" t="s">
        <v>73</v>
      </c>
      <c r="E44" s="70" t="s">
        <v>154</v>
      </c>
      <c r="F44" s="92">
        <f t="shared" si="12"/>
        <v>240000</v>
      </c>
      <c r="G44" s="45">
        <f>(4000*12)</f>
        <v>48000</v>
      </c>
      <c r="H44" s="92"/>
      <c r="I44" s="45">
        <f>(4000*12)</f>
        <v>48000</v>
      </c>
      <c r="J44" s="92"/>
      <c r="K44" s="45">
        <f>(4000*12)</f>
        <v>48000</v>
      </c>
      <c r="L44" s="92"/>
      <c r="M44" s="45">
        <f>(4000*12)</f>
        <v>48000</v>
      </c>
      <c r="N44" s="93"/>
      <c r="O44" s="45">
        <f>(4000*12)</f>
        <v>48000</v>
      </c>
      <c r="P44" s="93"/>
    </row>
    <row r="45" spans="2:16" ht="28.5" customHeight="1" x14ac:dyDescent="0.25">
      <c r="B45" s="41" t="s">
        <v>73</v>
      </c>
      <c r="C45" s="53" t="s">
        <v>53</v>
      </c>
      <c r="D45" s="55" t="s">
        <v>73</v>
      </c>
      <c r="E45" s="126" t="s">
        <v>156</v>
      </c>
      <c r="F45" s="92">
        <f t="shared" si="12"/>
        <v>25000</v>
      </c>
      <c r="G45" s="45">
        <v>5000</v>
      </c>
      <c r="H45" s="92"/>
      <c r="I45" s="45">
        <v>5000</v>
      </c>
      <c r="J45" s="92"/>
      <c r="K45" s="45">
        <v>5000</v>
      </c>
      <c r="L45" s="92"/>
      <c r="M45" s="45">
        <v>5000</v>
      </c>
      <c r="N45" s="93"/>
      <c r="O45" s="45">
        <v>5000</v>
      </c>
      <c r="P45" s="93"/>
    </row>
    <row r="46" spans="2:16" ht="28.5" customHeight="1" x14ac:dyDescent="0.25">
      <c r="B46" s="53" t="s">
        <v>73</v>
      </c>
      <c r="C46" s="49" t="s">
        <v>53</v>
      </c>
      <c r="D46" s="53" t="s">
        <v>73</v>
      </c>
      <c r="E46" s="51" t="s">
        <v>155</v>
      </c>
      <c r="F46" s="92">
        <f t="shared" si="12"/>
        <v>40000</v>
      </c>
      <c r="G46" s="45">
        <v>8000</v>
      </c>
      <c r="H46" s="92"/>
      <c r="I46" s="45">
        <v>8000</v>
      </c>
      <c r="J46" s="92"/>
      <c r="K46" s="45">
        <v>8000</v>
      </c>
      <c r="L46" s="92"/>
      <c r="M46" s="45">
        <v>8000</v>
      </c>
      <c r="N46" s="93"/>
      <c r="O46" s="45">
        <v>8000</v>
      </c>
      <c r="P46" s="93"/>
    </row>
    <row r="47" spans="2:16" ht="28.5" customHeight="1" x14ac:dyDescent="0.25">
      <c r="B47" s="53"/>
      <c r="C47" s="49"/>
      <c r="D47" s="53"/>
      <c r="E47" s="126"/>
      <c r="F47" s="234">
        <f t="shared" si="12"/>
        <v>0</v>
      </c>
      <c r="G47" s="235"/>
      <c r="H47" s="235"/>
      <c r="I47" s="235"/>
      <c r="J47" s="235"/>
      <c r="K47" s="235"/>
      <c r="L47" s="235"/>
      <c r="M47" s="235"/>
      <c r="N47" s="235"/>
      <c r="O47" s="235"/>
      <c r="P47" s="235"/>
    </row>
    <row r="48" spans="2:16" ht="28.5" customHeight="1" x14ac:dyDescent="0.25">
      <c r="B48" s="53"/>
      <c r="C48" s="49"/>
      <c r="D48" s="53"/>
      <c r="E48" s="51"/>
      <c r="F48" s="92">
        <f t="shared" si="12"/>
        <v>0</v>
      </c>
      <c r="G48" s="45"/>
      <c r="H48" s="45"/>
      <c r="I48" s="45"/>
      <c r="J48" s="45"/>
      <c r="K48" s="45"/>
      <c r="L48" s="45"/>
      <c r="M48" s="45"/>
      <c r="N48" s="45"/>
      <c r="O48" s="45"/>
      <c r="P48" s="45"/>
    </row>
    <row r="49" spans="2:17" x14ac:dyDescent="0.25">
      <c r="B49" s="289" t="s">
        <v>35</v>
      </c>
      <c r="C49" s="290"/>
      <c r="D49" s="291"/>
      <c r="E49" s="57"/>
      <c r="F49" s="133">
        <f>SUM(F40:F48)</f>
        <v>400000</v>
      </c>
      <c r="G49" s="92">
        <f>SUM(G40:G48)</f>
        <v>80000</v>
      </c>
      <c r="H49" s="92">
        <f t="shared" ref="H49:P49" si="13">SUM(H40:H48)</f>
        <v>0</v>
      </c>
      <c r="I49" s="92">
        <f t="shared" si="13"/>
        <v>80000</v>
      </c>
      <c r="J49" s="92">
        <f t="shared" si="13"/>
        <v>0</v>
      </c>
      <c r="K49" s="92">
        <f t="shared" si="13"/>
        <v>80000</v>
      </c>
      <c r="L49" s="92">
        <f t="shared" si="13"/>
        <v>0</v>
      </c>
      <c r="M49" s="92">
        <f t="shared" ref="M49:N49" si="14">SUM(M40:M48)</f>
        <v>80000</v>
      </c>
      <c r="N49" s="92">
        <f t="shared" si="14"/>
        <v>0</v>
      </c>
      <c r="O49" s="92">
        <f t="shared" si="13"/>
        <v>80000</v>
      </c>
      <c r="P49" s="92">
        <f t="shared" si="13"/>
        <v>0</v>
      </c>
      <c r="Q49" s="61"/>
    </row>
    <row r="50" spans="2:17" x14ac:dyDescent="0.25">
      <c r="B50" s="7"/>
      <c r="C50" s="7"/>
      <c r="D50" s="7"/>
      <c r="E50" s="7"/>
      <c r="F50" s="8"/>
    </row>
    <row r="51" spans="2:17" x14ac:dyDescent="0.25">
      <c r="B51" s="7"/>
      <c r="C51" s="7"/>
      <c r="D51" s="7"/>
      <c r="E51" s="7"/>
      <c r="F51" s="242"/>
    </row>
    <row r="52" spans="2:17" x14ac:dyDescent="0.25">
      <c r="B52" s="292" t="s">
        <v>85</v>
      </c>
      <c r="C52" s="293"/>
      <c r="D52" s="293"/>
      <c r="E52" s="293"/>
      <c r="F52" s="294"/>
      <c r="G52" s="298" t="s">
        <v>12</v>
      </c>
      <c r="H52" s="298"/>
      <c r="I52" s="298" t="s">
        <v>13</v>
      </c>
      <c r="J52" s="298"/>
      <c r="K52" s="298" t="s">
        <v>14</v>
      </c>
      <c r="L52" s="298"/>
      <c r="M52" s="253" t="s">
        <v>15</v>
      </c>
      <c r="N52" s="253"/>
      <c r="O52" s="253" t="s">
        <v>93</v>
      </c>
      <c r="P52" s="253"/>
    </row>
    <row r="53" spans="2:17" x14ac:dyDescent="0.25">
      <c r="B53" s="35" t="s">
        <v>38</v>
      </c>
      <c r="C53" s="35" t="s">
        <v>37</v>
      </c>
      <c r="D53" s="35" t="s">
        <v>18</v>
      </c>
      <c r="E53" s="35" t="s">
        <v>9</v>
      </c>
      <c r="F53" s="35" t="s">
        <v>19</v>
      </c>
      <c r="G53" s="62" t="s">
        <v>20</v>
      </c>
      <c r="H53" s="62" t="s">
        <v>21</v>
      </c>
      <c r="I53" s="62" t="s">
        <v>20</v>
      </c>
      <c r="J53" s="62" t="s">
        <v>21</v>
      </c>
      <c r="K53" s="62" t="s">
        <v>20</v>
      </c>
      <c r="L53" s="62" t="s">
        <v>21</v>
      </c>
      <c r="M53" s="60" t="s">
        <v>20</v>
      </c>
      <c r="N53" s="60" t="s">
        <v>21</v>
      </c>
      <c r="O53" s="60" t="s">
        <v>20</v>
      </c>
      <c r="P53" s="60" t="s">
        <v>21</v>
      </c>
    </row>
    <row r="54" spans="2:17" ht="30" customHeight="1" x14ac:dyDescent="0.25">
      <c r="B54" s="30" t="s">
        <v>100</v>
      </c>
      <c r="C54" s="30" t="s">
        <v>102</v>
      </c>
      <c r="D54" s="30" t="s">
        <v>101</v>
      </c>
      <c r="E54" s="126" t="s">
        <v>182</v>
      </c>
      <c r="F54" s="37">
        <f>SUM(G54:P54)</f>
        <v>72000</v>
      </c>
      <c r="G54" s="63">
        <f>1200*12</f>
        <v>14400</v>
      </c>
      <c r="H54" s="63"/>
      <c r="I54" s="63">
        <v>14400</v>
      </c>
      <c r="J54" s="63"/>
      <c r="K54" s="63">
        <v>14400</v>
      </c>
      <c r="L54" s="63"/>
      <c r="M54" s="63">
        <v>14400</v>
      </c>
      <c r="N54" s="52"/>
      <c r="O54" s="63">
        <v>14400</v>
      </c>
      <c r="P54" s="52"/>
    </row>
    <row r="55" spans="2:17" x14ac:dyDescent="0.25">
      <c r="B55" s="30" t="s">
        <v>34</v>
      </c>
      <c r="C55" s="30" t="s">
        <v>102</v>
      </c>
      <c r="D55" s="30" t="s">
        <v>157</v>
      </c>
      <c r="E55" s="51" t="s">
        <v>158</v>
      </c>
      <c r="F55" s="37">
        <f t="shared" ref="F55:F57" si="15">SUM(G55:P55)</f>
        <v>36277089.76721888</v>
      </c>
      <c r="G55" s="45">
        <f>'Sub 1 (AHS)'!E19</f>
        <v>5625044.9603846157</v>
      </c>
      <c r="H55" s="45">
        <f>'Sub 1 (AHS)'!F19</f>
        <v>0</v>
      </c>
      <c r="I55" s="45">
        <f>'Sub 1 (AHS)'!G19</f>
        <v>7124831.9274538457</v>
      </c>
      <c r="J55" s="45">
        <f>'Sub 1 (AHS)'!H19</f>
        <v>0</v>
      </c>
      <c r="K55" s="45">
        <f>'Sub 1 (AHS)'!I19</f>
        <v>9041259.000475537</v>
      </c>
      <c r="L55" s="45">
        <f>'Sub 1 (AHS)'!J19</f>
        <v>0</v>
      </c>
      <c r="M55" s="45">
        <f>'Sub 1 (AHS)'!K19</f>
        <v>7834947.5071977852</v>
      </c>
      <c r="N55" s="45">
        <f>'Sub 1 (AHS)'!L19</f>
        <v>0</v>
      </c>
      <c r="O55" s="45">
        <f>'Sub 1 (AHS)'!M19</f>
        <v>6651006.3717070986</v>
      </c>
      <c r="P55" s="45">
        <f>'Sub 1 (AHS)'!N19</f>
        <v>0</v>
      </c>
    </row>
    <row r="56" spans="2:17" x14ac:dyDescent="0.25">
      <c r="B56" s="30" t="s">
        <v>34</v>
      </c>
      <c r="C56" s="30" t="s">
        <v>102</v>
      </c>
      <c r="D56" s="30" t="s">
        <v>213</v>
      </c>
      <c r="E56" s="126" t="s">
        <v>227</v>
      </c>
      <c r="F56" s="37">
        <f t="shared" si="15"/>
        <v>226364.6</v>
      </c>
      <c r="G56" s="45">
        <f>'Sub 2 AML'!E19</f>
        <v>79365</v>
      </c>
      <c r="H56" s="45">
        <f>'Sub 2 AML'!F19</f>
        <v>0</v>
      </c>
      <c r="I56" s="45">
        <f>'Sub 2 AML'!G19</f>
        <v>35905.1</v>
      </c>
      <c r="J56" s="45">
        <f>'Sub 2 AML'!H19</f>
        <v>0</v>
      </c>
      <c r="K56" s="45">
        <f>'Sub 2 AML'!I19</f>
        <v>36458.400000000001</v>
      </c>
      <c r="L56" s="45">
        <f>'Sub 2 AML'!J19</f>
        <v>0</v>
      </c>
      <c r="M56" s="45">
        <f>'Sub 2 AML'!K19</f>
        <v>37027.1</v>
      </c>
      <c r="N56" s="45">
        <f>'Sub 2 AML'!L19</f>
        <v>0</v>
      </c>
      <c r="O56" s="45">
        <f>'Sub 2 AML'!M19</f>
        <v>37609</v>
      </c>
      <c r="P56" s="45">
        <f>'Sub 2 AML'!N19</f>
        <v>0</v>
      </c>
    </row>
    <row r="57" spans="2:17" x14ac:dyDescent="0.25">
      <c r="B57" s="30"/>
      <c r="C57" s="30"/>
      <c r="D57" s="30"/>
      <c r="E57" s="51"/>
      <c r="F57" s="37">
        <f t="shared" si="15"/>
        <v>0</v>
      </c>
      <c r="G57" s="45"/>
      <c r="H57" s="32"/>
      <c r="I57" s="32"/>
      <c r="J57" s="32"/>
      <c r="K57" s="32"/>
      <c r="L57" s="32"/>
      <c r="M57" s="52"/>
      <c r="N57" s="52"/>
      <c r="O57" s="52"/>
      <c r="P57" s="52"/>
    </row>
    <row r="58" spans="2:17" x14ac:dyDescent="0.25">
      <c r="B58" s="295" t="s">
        <v>39</v>
      </c>
      <c r="C58" s="296"/>
      <c r="D58" s="297"/>
      <c r="E58" s="58"/>
      <c r="F58" s="130">
        <f>SUM(F54:F57)</f>
        <v>36575454.367218882</v>
      </c>
      <c r="G58" s="38">
        <f>SUM(G54:G57)</f>
        <v>5718809.9603846157</v>
      </c>
      <c r="H58" s="38">
        <f t="shared" ref="H58:P58" si="16">SUM(H54:H57)</f>
        <v>0</v>
      </c>
      <c r="I58" s="38">
        <f t="shared" si="16"/>
        <v>7175137.0274538454</v>
      </c>
      <c r="J58" s="38">
        <f t="shared" si="16"/>
        <v>0</v>
      </c>
      <c r="K58" s="38">
        <f t="shared" si="16"/>
        <v>9092117.4004755374</v>
      </c>
      <c r="L58" s="38">
        <f t="shared" si="16"/>
        <v>0</v>
      </c>
      <c r="M58" s="38">
        <f>SUM(M54:M57)</f>
        <v>7886374.6071977848</v>
      </c>
      <c r="N58" s="38">
        <f t="shared" ref="N58" si="17">SUM(N54:N57)</f>
        <v>0</v>
      </c>
      <c r="O58" s="38">
        <f>SUM(O54:O57)</f>
        <v>6703015.3717070986</v>
      </c>
      <c r="P58" s="38">
        <f t="shared" si="16"/>
        <v>0</v>
      </c>
    </row>
    <row r="62" spans="2:17" ht="30" customHeight="1" x14ac:dyDescent="0.25">
      <c r="B62" s="288" t="s">
        <v>86</v>
      </c>
      <c r="C62" s="288"/>
      <c r="D62" s="288"/>
      <c r="E62" s="288"/>
      <c r="F62" s="288"/>
      <c r="G62" s="253" t="s">
        <v>12</v>
      </c>
      <c r="H62" s="253"/>
      <c r="I62" s="253" t="s">
        <v>13</v>
      </c>
      <c r="J62" s="253"/>
      <c r="K62" s="253" t="s">
        <v>14</v>
      </c>
      <c r="L62" s="253"/>
      <c r="M62" s="253" t="s">
        <v>15</v>
      </c>
      <c r="N62" s="253"/>
      <c r="O62" s="253" t="s">
        <v>93</v>
      </c>
      <c r="P62" s="253"/>
    </row>
    <row r="63" spans="2:17" ht="14.45" customHeight="1" x14ac:dyDescent="0.25">
      <c r="B63" s="283" t="s">
        <v>40</v>
      </c>
      <c r="C63" s="283"/>
      <c r="D63" s="284"/>
      <c r="E63" s="67" t="s">
        <v>41</v>
      </c>
      <c r="F63" s="69">
        <f>F6+F9+F18+F36+F40+F41+F42+F43+F44+F45+F46+(25000*10)+F54</f>
        <v>2175527.3313594284</v>
      </c>
      <c r="G63" s="299" t="s">
        <v>20</v>
      </c>
      <c r="H63" s="254" t="s">
        <v>21</v>
      </c>
      <c r="I63" s="254" t="s">
        <v>20</v>
      </c>
      <c r="J63" s="254" t="s">
        <v>21</v>
      </c>
      <c r="K63" s="254" t="s">
        <v>20</v>
      </c>
      <c r="L63" s="254" t="s">
        <v>21</v>
      </c>
      <c r="M63" s="254" t="s">
        <v>20</v>
      </c>
      <c r="N63" s="254" t="s">
        <v>21</v>
      </c>
      <c r="O63" s="254" t="s">
        <v>20</v>
      </c>
      <c r="P63" s="254" t="s">
        <v>21</v>
      </c>
    </row>
    <row r="64" spans="2:17" ht="26.45" customHeight="1" x14ac:dyDescent="0.25">
      <c r="B64" s="285" t="s">
        <v>42</v>
      </c>
      <c r="C64" s="285"/>
      <c r="D64" s="286"/>
      <c r="E64" s="52" t="s">
        <v>43</v>
      </c>
      <c r="F64" s="33">
        <v>0.1</v>
      </c>
      <c r="G64" s="300"/>
      <c r="H64" s="255"/>
      <c r="I64" s="255"/>
      <c r="J64" s="255"/>
      <c r="K64" s="255"/>
      <c r="L64" s="255"/>
      <c r="M64" s="255"/>
      <c r="N64" s="255"/>
      <c r="O64" s="255"/>
      <c r="P64" s="255"/>
      <c r="Q64" s="95" t="s">
        <v>119</v>
      </c>
    </row>
    <row r="65" spans="2:19" ht="15.75" x14ac:dyDescent="0.25">
      <c r="B65" s="256" t="s">
        <v>44</v>
      </c>
      <c r="C65" s="256"/>
      <c r="D65" s="257"/>
      <c r="E65" s="29" t="s">
        <v>45</v>
      </c>
      <c r="F65" s="134">
        <f>F63*F64</f>
        <v>217552.73313594284</v>
      </c>
      <c r="G65" s="87">
        <f>(Staffing!B5+'Budget Narrative'!G18+'Budget Narrative'!G36+G40+G41+G42+G43+G44+G45+G46+25000+25000+G54)*0.1</f>
        <v>42537.145198725004</v>
      </c>
      <c r="H65" s="87"/>
      <c r="I65" s="87">
        <f>(Staffing!D5+'Budget Narrative'!I18+'Budget Narrative'!I36+I40+I41+I42+I43+I44+I45+I46+25000+25000+I54)*0.1</f>
        <v>41597.627458661249</v>
      </c>
      <c r="J65" s="87"/>
      <c r="K65" s="87">
        <f>(Staffing!F5+'Budget Narrative'!K18+'Budget Narrative'!K36+K40+K41+K42+K43+K44+K45+K46+25000+25000+K54)*0.1</f>
        <v>42721.633831594314</v>
      </c>
      <c r="L65" s="87"/>
      <c r="M65" s="4">
        <f>(Staffing!H5+'Budget Narrative'!M18+'Budget Narrative'!M36+M40+M41+M42+M43+M44+M45+M46+25000+25000+M54)*0.1</f>
        <v>43901.840523174033</v>
      </c>
      <c r="N65" s="4"/>
      <c r="O65" s="4">
        <f>(Staffing!J5+'Budget Narrative'!O18+'Budget Narrative'!O36+O40+O41+O42+O43+O44+O45+O46+25000+25000+O54)*0.1</f>
        <v>46794.486123788229</v>
      </c>
      <c r="P65" s="4"/>
      <c r="Q65" s="79">
        <f>SUM(G65:P65)</f>
        <v>217552.73313594284</v>
      </c>
      <c r="R65" s="79"/>
      <c r="S65" s="79"/>
    </row>
    <row r="66" spans="2:19" x14ac:dyDescent="0.25"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</row>
    <row r="67" spans="2:19" x14ac:dyDescent="0.25"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</row>
    <row r="68" spans="2:19" x14ac:dyDescent="0.25"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</row>
    <row r="69" spans="2:19" x14ac:dyDescent="0.25">
      <c r="F69" s="88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</row>
    <row r="70" spans="2:19" x14ac:dyDescent="0.25">
      <c r="F70" s="88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</row>
    <row r="71" spans="2:19" x14ac:dyDescent="0.25">
      <c r="F71" s="80"/>
    </row>
    <row r="72" spans="2:19" x14ac:dyDescent="0.25">
      <c r="F72" s="80"/>
    </row>
    <row r="73" spans="2:19" x14ac:dyDescent="0.25">
      <c r="F73" s="80"/>
    </row>
    <row r="74" spans="2:19" x14ac:dyDescent="0.25">
      <c r="F74" s="80"/>
    </row>
    <row r="75" spans="2:19" x14ac:dyDescent="0.25">
      <c r="F75" s="80"/>
    </row>
    <row r="191" spans="7:9" x14ac:dyDescent="0.25">
      <c r="G191" s="26"/>
      <c r="H191" s="26"/>
      <c r="I191" s="26"/>
    </row>
    <row r="192" spans="7:9" x14ac:dyDescent="0.25">
      <c r="G192" s="26"/>
      <c r="H192" s="26"/>
      <c r="I192" s="26"/>
    </row>
    <row r="193" spans="7:9" x14ac:dyDescent="0.25">
      <c r="G193" s="27" t="s">
        <v>46</v>
      </c>
      <c r="H193" s="26"/>
      <c r="I193" s="26"/>
    </row>
    <row r="194" spans="7:9" x14ac:dyDescent="0.25">
      <c r="G194" s="27" t="s">
        <v>47</v>
      </c>
      <c r="H194" s="26"/>
      <c r="I194" s="26"/>
    </row>
    <row r="195" spans="7:9" x14ac:dyDescent="0.25">
      <c r="G195" s="27" t="s">
        <v>22</v>
      </c>
      <c r="H195" s="26"/>
      <c r="I195" s="26"/>
    </row>
    <row r="196" spans="7:9" x14ac:dyDescent="0.25">
      <c r="G196" s="27" t="s">
        <v>48</v>
      </c>
      <c r="H196" s="26"/>
      <c r="I196" s="26"/>
    </row>
    <row r="197" spans="7:9" x14ac:dyDescent="0.25">
      <c r="G197" s="27" t="s">
        <v>49</v>
      </c>
      <c r="H197" s="26"/>
      <c r="I197" s="26"/>
    </row>
    <row r="198" spans="7:9" x14ac:dyDescent="0.25">
      <c r="G198" s="27" t="s">
        <v>50</v>
      </c>
      <c r="H198" s="26"/>
      <c r="I198" s="26"/>
    </row>
    <row r="199" spans="7:9" x14ac:dyDescent="0.25">
      <c r="G199" s="27"/>
      <c r="H199" s="26"/>
      <c r="I199" s="26"/>
    </row>
    <row r="200" spans="7:9" x14ac:dyDescent="0.25">
      <c r="G200" s="27" t="s">
        <v>51</v>
      </c>
      <c r="H200" s="26"/>
      <c r="I200" s="26"/>
    </row>
    <row r="201" spans="7:9" x14ac:dyDescent="0.25">
      <c r="G201" s="27" t="s">
        <v>52</v>
      </c>
      <c r="H201" s="26"/>
      <c r="I201" s="26"/>
    </row>
    <row r="202" spans="7:9" x14ac:dyDescent="0.25">
      <c r="G202" s="27"/>
    </row>
    <row r="203" spans="7:9" x14ac:dyDescent="0.25">
      <c r="G203" s="27" t="s">
        <v>53</v>
      </c>
    </row>
    <row r="204" spans="7:9" x14ac:dyDescent="0.25">
      <c r="G204" s="27" t="s">
        <v>34</v>
      </c>
    </row>
  </sheetData>
  <sheetProtection formatCells="0" formatColumns="0" formatRows="0" insertColumns="0" insertRows="0" insertHyperlinks="0" deleteColumns="0" deleteRows="0" sort="0"/>
  <mergeCells count="70">
    <mergeCell ref="B5:F5"/>
    <mergeCell ref="M52:N52"/>
    <mergeCell ref="M62:N62"/>
    <mergeCell ref="M63:M64"/>
    <mergeCell ref="N63:N64"/>
    <mergeCell ref="C13:E13"/>
    <mergeCell ref="C14:E14"/>
    <mergeCell ref="C15:E15"/>
    <mergeCell ref="C16:E16"/>
    <mergeCell ref="C17:E17"/>
    <mergeCell ref="M11:N11"/>
    <mergeCell ref="M20:N20"/>
    <mergeCell ref="M26:N26"/>
    <mergeCell ref="M38:N38"/>
    <mergeCell ref="G52:H52"/>
    <mergeCell ref="I52:J52"/>
    <mergeCell ref="I38:J38"/>
    <mergeCell ref="K38:L38"/>
    <mergeCell ref="L63:L64"/>
    <mergeCell ref="G63:G64"/>
    <mergeCell ref="H63:H64"/>
    <mergeCell ref="I63:I64"/>
    <mergeCell ref="J63:J64"/>
    <mergeCell ref="K63:K64"/>
    <mergeCell ref="B9:D9"/>
    <mergeCell ref="B6:D6"/>
    <mergeCell ref="B20:F20"/>
    <mergeCell ref="B24:D24"/>
    <mergeCell ref="B11:F11"/>
    <mergeCell ref="B18:D18"/>
    <mergeCell ref="B63:D63"/>
    <mergeCell ref="B64:D64"/>
    <mergeCell ref="G11:H11"/>
    <mergeCell ref="I11:J11"/>
    <mergeCell ref="K11:L11"/>
    <mergeCell ref="G20:H20"/>
    <mergeCell ref="I20:J20"/>
    <mergeCell ref="K20:L20"/>
    <mergeCell ref="B62:F62"/>
    <mergeCell ref="B26:F26"/>
    <mergeCell ref="B36:D36"/>
    <mergeCell ref="B52:F52"/>
    <mergeCell ref="B58:D58"/>
    <mergeCell ref="B49:D49"/>
    <mergeCell ref="K52:L52"/>
    <mergeCell ref="G38:H38"/>
    <mergeCell ref="B65:D65"/>
    <mergeCell ref="K2:L3"/>
    <mergeCell ref="I2:J2"/>
    <mergeCell ref="G8:L8"/>
    <mergeCell ref="G9:L10"/>
    <mergeCell ref="K5:L5"/>
    <mergeCell ref="K6:L6"/>
    <mergeCell ref="K4:L4"/>
    <mergeCell ref="B8:F8"/>
    <mergeCell ref="G62:H62"/>
    <mergeCell ref="I62:J62"/>
    <mergeCell ref="K62:L62"/>
    <mergeCell ref="B38:F38"/>
    <mergeCell ref="G26:H26"/>
    <mergeCell ref="I26:J26"/>
    <mergeCell ref="K26:L26"/>
    <mergeCell ref="O52:P52"/>
    <mergeCell ref="O62:P62"/>
    <mergeCell ref="O63:O64"/>
    <mergeCell ref="P63:P64"/>
    <mergeCell ref="O11:P11"/>
    <mergeCell ref="O20:P20"/>
    <mergeCell ref="O26:P26"/>
    <mergeCell ref="O38:P38"/>
  </mergeCells>
  <phoneticPr fontId="16" type="noConversion"/>
  <dataValidations count="1">
    <dataValidation type="list" allowBlank="1" showInputMessage="1" showErrorMessage="1" sqref="C40:C48" xr:uid="{65C1E631-EE98-461A-AAC9-D0824E214838}">
      <formula1>sub</formula1>
    </dataValidation>
  </dataValidations>
  <pageMargins left="0.7" right="0.7" top="0.75" bottom="0.75" header="0.3" footer="0.3"/>
  <pageSetup scale="15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2AFB2-DE23-44D9-A58D-09EF303E73BB}">
  <sheetPr>
    <pageSetUpPr fitToPage="1"/>
  </sheetPr>
  <dimension ref="A1:Q62"/>
  <sheetViews>
    <sheetView topLeftCell="A44" workbookViewId="0">
      <selection activeCell="A8" sqref="A8:P56"/>
    </sheetView>
  </sheetViews>
  <sheetFormatPr defaultRowHeight="15" x14ac:dyDescent="0.25"/>
  <cols>
    <col min="1" max="1" width="25.140625" customWidth="1"/>
    <col min="2" max="12" width="17.42578125" customWidth="1"/>
    <col min="13" max="14" width="14.7109375" customWidth="1"/>
    <col min="15" max="16" width="18.42578125" customWidth="1"/>
    <col min="17" max="17" width="22.140625" customWidth="1"/>
  </cols>
  <sheetData>
    <row r="1" spans="1:17" s="143" customFormat="1" ht="26.25" customHeight="1" x14ac:dyDescent="0.25">
      <c r="A1" s="142" t="s">
        <v>162</v>
      </c>
      <c r="B1" s="310" t="s">
        <v>12</v>
      </c>
      <c r="C1" s="311"/>
      <c r="D1" s="311" t="s">
        <v>13</v>
      </c>
      <c r="E1" s="311"/>
      <c r="F1" s="311" t="s">
        <v>14</v>
      </c>
      <c r="G1" s="311"/>
      <c r="H1" s="312" t="s">
        <v>15</v>
      </c>
      <c r="I1" s="310"/>
      <c r="J1" s="311" t="s">
        <v>93</v>
      </c>
      <c r="K1" s="311"/>
    </row>
    <row r="2" spans="1:17" ht="29.25" customHeight="1" x14ac:dyDescent="0.25">
      <c r="A2" s="135" t="s">
        <v>115</v>
      </c>
      <c r="B2" s="136" t="s">
        <v>20</v>
      </c>
      <c r="C2" s="68" t="s">
        <v>21</v>
      </c>
      <c r="D2" s="68" t="s">
        <v>20</v>
      </c>
      <c r="E2" s="68" t="s">
        <v>21</v>
      </c>
      <c r="F2" s="68" t="s">
        <v>20</v>
      </c>
      <c r="G2" s="68" t="s">
        <v>21</v>
      </c>
      <c r="H2" s="68" t="s">
        <v>20</v>
      </c>
      <c r="I2" s="68" t="s">
        <v>21</v>
      </c>
      <c r="J2" s="68" t="s">
        <v>20</v>
      </c>
      <c r="K2" s="68" t="s">
        <v>21</v>
      </c>
      <c r="L2" s="145" t="s">
        <v>120</v>
      </c>
    </row>
    <row r="3" spans="1:17" ht="26.25" customHeight="1" x14ac:dyDescent="0.25">
      <c r="A3" s="137" t="s">
        <v>116</v>
      </c>
      <c r="B3" s="147">
        <f>O16</f>
        <v>141890.91427499999</v>
      </c>
      <c r="C3" s="138"/>
      <c r="D3" s="147">
        <f>O26</f>
        <v>148985.45998874999</v>
      </c>
      <c r="E3" s="138"/>
      <c r="F3" s="147">
        <f>O36</f>
        <v>156434.73298818752</v>
      </c>
      <c r="G3" s="138"/>
      <c r="H3" s="138">
        <f>O46</f>
        <v>164256.46963759689</v>
      </c>
      <c r="I3" s="138"/>
      <c r="J3" s="147">
        <f>O56</f>
        <v>172469.29311947673</v>
      </c>
      <c r="K3" s="138"/>
      <c r="L3" s="144">
        <f>SUM(B3:K3)</f>
        <v>784036.87000901112</v>
      </c>
    </row>
    <row r="4" spans="1:17" ht="26.25" customHeight="1" thickBot="1" x14ac:dyDescent="0.3">
      <c r="A4" s="137" t="s">
        <v>117</v>
      </c>
      <c r="B4" s="148">
        <f>P16</f>
        <v>72205.537712250007</v>
      </c>
      <c r="C4" s="139"/>
      <c r="D4" s="148">
        <f>P26</f>
        <v>75815.814597862511</v>
      </c>
      <c r="E4" s="139"/>
      <c r="F4" s="148">
        <f>P36</f>
        <v>79606.605327755635</v>
      </c>
      <c r="G4" s="139"/>
      <c r="H4" s="139">
        <f>P46</f>
        <v>83586.935594143419</v>
      </c>
      <c r="I4" s="139"/>
      <c r="J4" s="148">
        <f>P56</f>
        <v>104300.56811840559</v>
      </c>
      <c r="K4" s="139"/>
      <c r="L4" s="144">
        <f>SUM(B4:K4)</f>
        <v>415515.46135041711</v>
      </c>
    </row>
    <row r="5" spans="1:17" ht="26.25" customHeight="1" thickTop="1" x14ac:dyDescent="0.25">
      <c r="A5" s="137"/>
      <c r="B5" s="140">
        <f>SUM(B3:B4)</f>
        <v>214096.45198725001</v>
      </c>
      <c r="C5" s="140">
        <f t="shared" ref="C5:K5" si="0">SUM(C3:C4)</f>
        <v>0</v>
      </c>
      <c r="D5" s="140">
        <f t="shared" si="0"/>
        <v>224801.2745866125</v>
      </c>
      <c r="E5" s="140">
        <f t="shared" si="0"/>
        <v>0</v>
      </c>
      <c r="F5" s="140">
        <f t="shared" si="0"/>
        <v>236041.33831594314</v>
      </c>
      <c r="G5" s="140">
        <f t="shared" si="0"/>
        <v>0</v>
      </c>
      <c r="H5" s="140">
        <f t="shared" si="0"/>
        <v>247843.40523174033</v>
      </c>
      <c r="I5" s="140">
        <f t="shared" si="0"/>
        <v>0</v>
      </c>
      <c r="J5" s="140">
        <f t="shared" si="0"/>
        <v>276769.86123788229</v>
      </c>
      <c r="K5" s="140">
        <f t="shared" si="0"/>
        <v>0</v>
      </c>
    </row>
    <row r="6" spans="1:17" ht="16.5" customHeight="1" x14ac:dyDescent="0.25">
      <c r="A6" s="304" t="s">
        <v>118</v>
      </c>
      <c r="B6" s="305"/>
      <c r="C6" s="305"/>
      <c r="D6" s="305"/>
      <c r="E6" s="305"/>
      <c r="F6" s="305"/>
      <c r="G6" s="306"/>
      <c r="H6" s="141"/>
      <c r="I6" s="141"/>
      <c r="J6" s="141"/>
      <c r="K6" s="141"/>
    </row>
    <row r="8" spans="1:17" x14ac:dyDescent="0.25">
      <c r="A8" s="313" t="s">
        <v>137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</row>
    <row r="9" spans="1:17" s="146" customFormat="1" ht="33.75" customHeight="1" x14ac:dyDescent="0.25">
      <c r="A9" s="59" t="s">
        <v>72</v>
      </c>
      <c r="B9" s="59" t="s">
        <v>121</v>
      </c>
      <c r="C9" s="59" t="s">
        <v>122</v>
      </c>
      <c r="D9" s="59" t="s">
        <v>123</v>
      </c>
      <c r="E9" s="59" t="s">
        <v>124</v>
      </c>
      <c r="F9" s="59" t="s">
        <v>125</v>
      </c>
      <c r="G9" s="59" t="s">
        <v>129</v>
      </c>
      <c r="H9" s="59" t="s">
        <v>130</v>
      </c>
      <c r="I9" s="59" t="s">
        <v>131</v>
      </c>
      <c r="J9" s="59" t="s">
        <v>126</v>
      </c>
      <c r="K9" s="59" t="s">
        <v>161</v>
      </c>
      <c r="L9" s="59" t="s">
        <v>128</v>
      </c>
      <c r="M9" s="59" t="s">
        <v>132</v>
      </c>
      <c r="N9" s="59" t="s">
        <v>133</v>
      </c>
      <c r="O9" s="59" t="s">
        <v>134</v>
      </c>
      <c r="P9" s="59" t="s">
        <v>135</v>
      </c>
    </row>
    <row r="10" spans="1:17" ht="27.75" customHeight="1" x14ac:dyDescent="0.25">
      <c r="A10" s="50" t="s">
        <v>68</v>
      </c>
      <c r="B10" s="19">
        <f>131255.51*1.05</f>
        <v>137818.28550000003</v>
      </c>
      <c r="C10" s="19">
        <f>B10/F10</f>
        <v>66.258791105769248</v>
      </c>
      <c r="D10" s="52">
        <v>40</v>
      </c>
      <c r="E10" s="52">
        <v>52</v>
      </c>
      <c r="F10" s="52">
        <f>D10*E10</f>
        <v>2080</v>
      </c>
      <c r="G10" s="25">
        <f>C10*F10</f>
        <v>137818.28550000003</v>
      </c>
      <c r="H10" s="25">
        <f>G10*0.1</f>
        <v>13781.828550000004</v>
      </c>
      <c r="I10" s="25">
        <f>G10*0.09</f>
        <v>12403.645695000003</v>
      </c>
      <c r="J10" s="19">
        <f>((1019.06*2))*12</f>
        <v>24457.439999999999</v>
      </c>
      <c r="K10" s="25"/>
      <c r="L10" s="25">
        <f>SUM(H10:K10)</f>
        <v>50642.914245000007</v>
      </c>
      <c r="M10" s="39">
        <f>L10/(G10+H10+I10+J10+K10)</f>
        <v>0.2687179871163034</v>
      </c>
      <c r="N10" s="39">
        <f>104/2080</f>
        <v>0.05</v>
      </c>
      <c r="O10" s="25">
        <f>G10*N10</f>
        <v>6890.9142750000019</v>
      </c>
      <c r="P10" s="25">
        <f>L10*N10</f>
        <v>2532.1457122500005</v>
      </c>
    </row>
    <row r="11" spans="1:17" ht="27.75" customHeight="1" x14ac:dyDescent="0.25">
      <c r="A11" s="50" t="s">
        <v>159</v>
      </c>
      <c r="B11" s="19">
        <v>80000</v>
      </c>
      <c r="C11" s="19">
        <f t="shared" ref="C11:C12" si="1">B11/F11</f>
        <v>38.46153846153846</v>
      </c>
      <c r="D11" s="52">
        <v>40</v>
      </c>
      <c r="E11" s="52">
        <v>52</v>
      </c>
      <c r="F11" s="52">
        <f t="shared" ref="F11:F12" si="2">D11*E11</f>
        <v>2080</v>
      </c>
      <c r="G11" s="25">
        <f>C11*F11</f>
        <v>80000</v>
      </c>
      <c r="H11" s="25">
        <f t="shared" ref="H11:H12" si="3">G11*0.1</f>
        <v>8000</v>
      </c>
      <c r="I11" s="25">
        <f t="shared" ref="I11:I12" si="4">G11*0.09</f>
        <v>7200</v>
      </c>
      <c r="J11" s="19">
        <f>((1019.06*2))*12</f>
        <v>24457.439999999999</v>
      </c>
      <c r="K11" s="25"/>
      <c r="L11" s="25">
        <f t="shared" ref="L11:L12" si="5">SUM(H11:K11)</f>
        <v>39657.440000000002</v>
      </c>
      <c r="M11" s="39">
        <f t="shared" ref="M11:M12" si="6">L11/(G11+H11+I11+J11+K11)</f>
        <v>0.33142477392128733</v>
      </c>
      <c r="N11" s="39">
        <v>0.9</v>
      </c>
      <c r="O11" s="25">
        <f t="shared" ref="O11" si="7">G11*N11</f>
        <v>72000</v>
      </c>
      <c r="P11" s="25">
        <f t="shared" ref="P11:P15" si="8">L11*N11</f>
        <v>35691.696000000004</v>
      </c>
    </row>
    <row r="12" spans="1:17" ht="27.75" customHeight="1" x14ac:dyDescent="0.25">
      <c r="A12" s="50" t="s">
        <v>160</v>
      </c>
      <c r="B12" s="19">
        <v>70000</v>
      </c>
      <c r="C12" s="19">
        <f t="shared" si="1"/>
        <v>33.653846153846153</v>
      </c>
      <c r="D12" s="52">
        <v>40</v>
      </c>
      <c r="E12" s="52">
        <v>52</v>
      </c>
      <c r="F12" s="52">
        <f t="shared" si="2"/>
        <v>2080</v>
      </c>
      <c r="G12" s="25">
        <f t="shared" ref="G12" si="9">C12*F12</f>
        <v>70000</v>
      </c>
      <c r="H12" s="25">
        <f t="shared" si="3"/>
        <v>7000</v>
      </c>
      <c r="I12" s="25">
        <f t="shared" si="4"/>
        <v>6300</v>
      </c>
      <c r="J12" s="19">
        <f>((1019.06*2))*12</f>
        <v>24457.439999999999</v>
      </c>
      <c r="K12" s="25"/>
      <c r="L12" s="25">
        <f t="shared" si="5"/>
        <v>37757.440000000002</v>
      </c>
      <c r="M12" s="39">
        <f t="shared" si="6"/>
        <v>0.35039288238473371</v>
      </c>
      <c r="N12" s="39">
        <v>0.9</v>
      </c>
      <c r="O12" s="25">
        <f>G12*N12</f>
        <v>63000</v>
      </c>
      <c r="P12" s="25">
        <f t="shared" si="8"/>
        <v>33981.696000000004</v>
      </c>
    </row>
    <row r="13" spans="1:17" ht="27.75" customHeight="1" x14ac:dyDescent="0.25">
      <c r="A13" s="50"/>
      <c r="B13" s="19"/>
      <c r="C13" s="19"/>
      <c r="D13" s="52"/>
      <c r="E13" s="52"/>
      <c r="F13" s="52"/>
      <c r="G13" s="25"/>
      <c r="H13" s="25"/>
      <c r="I13" s="25"/>
      <c r="J13" s="19"/>
      <c r="K13" s="25"/>
      <c r="L13" s="25"/>
      <c r="M13" s="39"/>
      <c r="N13" s="39"/>
      <c r="O13" s="25"/>
      <c r="P13" s="25"/>
    </row>
    <row r="14" spans="1:17" ht="27.75" customHeight="1" x14ac:dyDescent="0.25">
      <c r="A14" s="50"/>
      <c r="B14" s="19"/>
      <c r="C14" s="19"/>
      <c r="D14" s="52"/>
      <c r="E14" s="52"/>
      <c r="F14" s="52"/>
      <c r="G14" s="25"/>
      <c r="H14" s="25"/>
      <c r="I14" s="25"/>
      <c r="J14" s="25"/>
      <c r="K14" s="25"/>
      <c r="L14" s="25"/>
      <c r="M14" s="39"/>
      <c r="N14" s="39"/>
      <c r="O14" s="25"/>
      <c r="P14" s="25"/>
    </row>
    <row r="15" spans="1:17" ht="27.75" customHeight="1" x14ac:dyDescent="0.25">
      <c r="A15" s="50"/>
      <c r="B15" s="19"/>
      <c r="C15" s="19"/>
      <c r="D15" s="52"/>
      <c r="E15" s="52"/>
      <c r="F15" s="52"/>
      <c r="G15" s="25"/>
      <c r="H15" s="25"/>
      <c r="I15" s="25"/>
      <c r="J15" s="25"/>
      <c r="K15" s="25"/>
      <c r="L15" s="25"/>
      <c r="M15" s="39"/>
      <c r="N15" s="39"/>
      <c r="O15" s="25"/>
      <c r="P15" s="25">
        <f t="shared" si="8"/>
        <v>0</v>
      </c>
    </row>
    <row r="16" spans="1:17" ht="27.75" customHeight="1" x14ac:dyDescent="0.25">
      <c r="A16" s="307" t="s">
        <v>136</v>
      </c>
      <c r="B16" s="308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9"/>
      <c r="O16" s="25">
        <f>SUM(O10:O15)</f>
        <v>141890.91427499999</v>
      </c>
      <c r="P16" s="25">
        <f>SUM(P10:P15)</f>
        <v>72205.537712250007</v>
      </c>
      <c r="Q16" s="40">
        <f>SUM(O16:P16)</f>
        <v>214096.45198725001</v>
      </c>
    </row>
    <row r="17" spans="1:17" x14ac:dyDescent="0.25">
      <c r="Q17" s="40"/>
    </row>
    <row r="18" spans="1:17" x14ac:dyDescent="0.25">
      <c r="A18" s="313" t="s">
        <v>13</v>
      </c>
      <c r="B18" s="313"/>
      <c r="C18" s="313"/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40"/>
    </row>
    <row r="19" spans="1:17" ht="30" x14ac:dyDescent="0.25">
      <c r="A19" s="59" t="s">
        <v>72</v>
      </c>
      <c r="B19" s="59" t="s">
        <v>121</v>
      </c>
      <c r="C19" s="59" t="s">
        <v>122</v>
      </c>
      <c r="D19" s="59" t="s">
        <v>123</v>
      </c>
      <c r="E19" s="59" t="s">
        <v>124</v>
      </c>
      <c r="F19" s="59" t="s">
        <v>125</v>
      </c>
      <c r="G19" s="59" t="s">
        <v>129</v>
      </c>
      <c r="H19" s="59" t="s">
        <v>130</v>
      </c>
      <c r="I19" s="59" t="s">
        <v>131</v>
      </c>
      <c r="J19" s="59" t="s">
        <v>126</v>
      </c>
      <c r="K19" s="59" t="s">
        <v>127</v>
      </c>
      <c r="L19" s="59" t="s">
        <v>128</v>
      </c>
      <c r="M19" s="59" t="s">
        <v>132</v>
      </c>
      <c r="N19" s="59" t="s">
        <v>133</v>
      </c>
      <c r="O19" s="59" t="s">
        <v>134</v>
      </c>
      <c r="P19" s="59" t="s">
        <v>135</v>
      </c>
      <c r="Q19" s="40"/>
    </row>
    <row r="20" spans="1:17" ht="34.5" customHeight="1" x14ac:dyDescent="0.25">
      <c r="A20" s="50" t="str">
        <f>A10</f>
        <v>Executive Director</v>
      </c>
      <c r="B20" s="19">
        <f>B10*1.05</f>
        <v>144709.19977500004</v>
      </c>
      <c r="C20" s="19">
        <f>B20/F20</f>
        <v>69.571730661057714</v>
      </c>
      <c r="D20" s="52">
        <v>40</v>
      </c>
      <c r="E20" s="52">
        <v>52</v>
      </c>
      <c r="F20" s="52">
        <f>D20*E20</f>
        <v>2080</v>
      </c>
      <c r="G20" s="25">
        <f>C20*F20</f>
        <v>144709.19977500004</v>
      </c>
      <c r="H20" s="25">
        <f>G20*0.1</f>
        <v>14470.919977500005</v>
      </c>
      <c r="I20" s="25">
        <f>G20*0.09</f>
        <v>13023.827979750004</v>
      </c>
      <c r="J20" s="25">
        <f>J10*1.05</f>
        <v>25680.311999999998</v>
      </c>
      <c r="K20" s="25"/>
      <c r="L20" s="25">
        <f>SUM(H20:K20)</f>
        <v>53175.059957250007</v>
      </c>
      <c r="M20" s="39">
        <f>L20/(G20+H20+I20+J20+K20)</f>
        <v>0.2687179871163034</v>
      </c>
      <c r="N20" s="39">
        <f>104/2080</f>
        <v>0.05</v>
      </c>
      <c r="O20" s="25">
        <f>G20*N20</f>
        <v>7235.4599887500026</v>
      </c>
      <c r="P20" s="25">
        <f>L20*N20</f>
        <v>2658.7529978625007</v>
      </c>
      <c r="Q20" s="40"/>
    </row>
    <row r="21" spans="1:17" ht="34.5" customHeight="1" x14ac:dyDescent="0.25">
      <c r="A21" s="50" t="str">
        <f t="shared" ref="A21:A25" si="10">A11</f>
        <v>Program Manager</v>
      </c>
      <c r="B21" s="19">
        <f t="shared" ref="B21:B22" si="11">B11*1.05</f>
        <v>84000</v>
      </c>
      <c r="C21" s="19">
        <f t="shared" ref="C21:C22" si="12">B21/F21</f>
        <v>40.384615384615387</v>
      </c>
      <c r="D21" s="52">
        <v>40</v>
      </c>
      <c r="E21" s="52">
        <v>52</v>
      </c>
      <c r="F21" s="52">
        <f t="shared" ref="F21:F22" si="13">D21*E21</f>
        <v>2080</v>
      </c>
      <c r="G21" s="25">
        <f>C21*F21</f>
        <v>84000</v>
      </c>
      <c r="H21" s="25">
        <f t="shared" ref="H21:H22" si="14">G21*0.1</f>
        <v>8400</v>
      </c>
      <c r="I21" s="25">
        <f t="shared" ref="I21:I22" si="15">G21*0.09</f>
        <v>7560</v>
      </c>
      <c r="J21" s="25">
        <f t="shared" ref="J21:J22" si="16">J11*1.05</f>
        <v>25680.311999999998</v>
      </c>
      <c r="K21" s="25"/>
      <c r="L21" s="25">
        <f t="shared" ref="L21:L22" si="17">SUM(H21:K21)</f>
        <v>41640.311999999998</v>
      </c>
      <c r="M21" s="39">
        <f t="shared" ref="M21:M22" si="18">L21/(G21+H21+I21+J21+K21)</f>
        <v>0.33142477392128727</v>
      </c>
      <c r="N21" s="39">
        <v>0.9</v>
      </c>
      <c r="O21" s="25">
        <f>G21*N21</f>
        <v>75600</v>
      </c>
      <c r="P21" s="25">
        <f t="shared" ref="P21:P22" si="19">L21*N21</f>
        <v>37476.2808</v>
      </c>
      <c r="Q21" s="40"/>
    </row>
    <row r="22" spans="1:17" ht="34.5" customHeight="1" x14ac:dyDescent="0.25">
      <c r="A22" s="50" t="str">
        <f t="shared" si="10"/>
        <v>Program Assistant</v>
      </c>
      <c r="B22" s="19">
        <f t="shared" si="11"/>
        <v>73500</v>
      </c>
      <c r="C22" s="19">
        <f t="shared" si="12"/>
        <v>35.33653846153846</v>
      </c>
      <c r="D22" s="52">
        <v>40</v>
      </c>
      <c r="E22" s="52">
        <v>52</v>
      </c>
      <c r="F22" s="52">
        <f t="shared" si="13"/>
        <v>2080</v>
      </c>
      <c r="G22" s="25">
        <f t="shared" ref="G22" si="20">C22*F22</f>
        <v>73500</v>
      </c>
      <c r="H22" s="25">
        <f t="shared" si="14"/>
        <v>7350</v>
      </c>
      <c r="I22" s="25">
        <f t="shared" si="15"/>
        <v>6615</v>
      </c>
      <c r="J22" s="25">
        <f t="shared" si="16"/>
        <v>25680.311999999998</v>
      </c>
      <c r="K22" s="25"/>
      <c r="L22" s="25">
        <f t="shared" si="17"/>
        <v>39645.311999999998</v>
      </c>
      <c r="M22" s="39">
        <f t="shared" si="18"/>
        <v>0.35039288238473371</v>
      </c>
      <c r="N22" s="39">
        <v>0.9</v>
      </c>
      <c r="O22" s="25">
        <f t="shared" ref="O22" si="21">G22*N22</f>
        <v>66150</v>
      </c>
      <c r="P22" s="25">
        <f t="shared" si="19"/>
        <v>35680.7808</v>
      </c>
      <c r="Q22" s="40"/>
    </row>
    <row r="23" spans="1:17" ht="34.5" customHeight="1" x14ac:dyDescent="0.25">
      <c r="A23" s="50">
        <f t="shared" si="10"/>
        <v>0</v>
      </c>
      <c r="B23" s="19"/>
      <c r="C23" s="19"/>
      <c r="D23" s="52"/>
      <c r="E23" s="52"/>
      <c r="F23" s="52"/>
      <c r="G23" s="25"/>
      <c r="H23" s="25"/>
      <c r="I23" s="25"/>
      <c r="J23" s="25"/>
      <c r="K23" s="25"/>
      <c r="L23" s="25"/>
      <c r="M23" s="39"/>
      <c r="N23" s="39"/>
      <c r="O23" s="25"/>
      <c r="P23" s="25"/>
      <c r="Q23" s="40"/>
    </row>
    <row r="24" spans="1:17" ht="34.5" customHeight="1" x14ac:dyDescent="0.25">
      <c r="A24" s="50">
        <f t="shared" si="10"/>
        <v>0</v>
      </c>
      <c r="B24" s="19"/>
      <c r="C24" s="19"/>
      <c r="D24" s="52"/>
      <c r="E24" s="52"/>
      <c r="F24" s="52"/>
      <c r="G24" s="25"/>
      <c r="H24" s="25"/>
      <c r="I24" s="25"/>
      <c r="J24" s="25"/>
      <c r="K24" s="25"/>
      <c r="L24" s="25"/>
      <c r="M24" s="39"/>
      <c r="N24" s="39"/>
      <c r="O24" s="25"/>
      <c r="P24" s="25"/>
      <c r="Q24" s="40"/>
    </row>
    <row r="25" spans="1:17" ht="34.5" customHeight="1" x14ac:dyDescent="0.25">
      <c r="A25" s="50">
        <f t="shared" si="10"/>
        <v>0</v>
      </c>
      <c r="B25" s="19"/>
      <c r="C25" s="19"/>
      <c r="D25" s="52"/>
      <c r="E25" s="52"/>
      <c r="F25" s="52"/>
      <c r="G25" s="25"/>
      <c r="H25" s="25"/>
      <c r="I25" s="25"/>
      <c r="J25" s="25"/>
      <c r="K25" s="25"/>
      <c r="L25" s="25"/>
      <c r="M25" s="39"/>
      <c r="N25" s="39"/>
      <c r="O25" s="25"/>
      <c r="P25" s="25"/>
      <c r="Q25" s="40"/>
    </row>
    <row r="26" spans="1:17" x14ac:dyDescent="0.25">
      <c r="A26" s="307" t="s">
        <v>138</v>
      </c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9"/>
      <c r="O26" s="25">
        <f>SUM(O20:O25)</f>
        <v>148985.45998874999</v>
      </c>
      <c r="P26" s="25">
        <f>SUM(P20:P25)</f>
        <v>75815.814597862511</v>
      </c>
      <c r="Q26" s="40">
        <f>SUM(O26:P26)</f>
        <v>224801.2745866125</v>
      </c>
    </row>
    <row r="27" spans="1:17" x14ac:dyDescent="0.25">
      <c r="Q27" s="40"/>
    </row>
    <row r="28" spans="1:17" x14ac:dyDescent="0.25">
      <c r="A28" s="313" t="s">
        <v>14</v>
      </c>
      <c r="B28" s="313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40"/>
    </row>
    <row r="29" spans="1:17" ht="30" x14ac:dyDescent="0.25">
      <c r="A29" s="59" t="s">
        <v>72</v>
      </c>
      <c r="B29" s="59" t="s">
        <v>121</v>
      </c>
      <c r="C29" s="59" t="s">
        <v>122</v>
      </c>
      <c r="D29" s="59" t="s">
        <v>123</v>
      </c>
      <c r="E29" s="59" t="s">
        <v>124</v>
      </c>
      <c r="F29" s="59" t="s">
        <v>125</v>
      </c>
      <c r="G29" s="59" t="s">
        <v>129</v>
      </c>
      <c r="H29" s="59" t="s">
        <v>130</v>
      </c>
      <c r="I29" s="59" t="s">
        <v>131</v>
      </c>
      <c r="J29" s="59" t="s">
        <v>126</v>
      </c>
      <c r="K29" s="59" t="s">
        <v>127</v>
      </c>
      <c r="L29" s="59" t="s">
        <v>128</v>
      </c>
      <c r="M29" s="59" t="s">
        <v>132</v>
      </c>
      <c r="N29" s="59" t="s">
        <v>133</v>
      </c>
      <c r="O29" s="59" t="s">
        <v>134</v>
      </c>
      <c r="P29" s="59" t="s">
        <v>135</v>
      </c>
      <c r="Q29" s="40"/>
    </row>
    <row r="30" spans="1:17" ht="33" customHeight="1" x14ac:dyDescent="0.25">
      <c r="A30" s="50" t="str">
        <f>A10</f>
        <v>Executive Director</v>
      </c>
      <c r="B30" s="19">
        <f>B20*1.05</f>
        <v>151944.65976375007</v>
      </c>
      <c r="C30" s="19">
        <f>B30/F30</f>
        <v>73.050317194110605</v>
      </c>
      <c r="D30" s="52">
        <v>40</v>
      </c>
      <c r="E30" s="52">
        <v>52</v>
      </c>
      <c r="F30" s="52">
        <f>D30*E30</f>
        <v>2080</v>
      </c>
      <c r="G30" s="25">
        <f>C30*F30</f>
        <v>151944.65976375007</v>
      </c>
      <c r="H30" s="25">
        <f>G30*0.1</f>
        <v>15194.465976375008</v>
      </c>
      <c r="I30" s="25">
        <f>G30*0.09</f>
        <v>13675.019378737505</v>
      </c>
      <c r="J30" s="25">
        <f>J20*1.05</f>
        <v>26964.327600000001</v>
      </c>
      <c r="K30" s="25"/>
      <c r="L30" s="25">
        <f>SUM(H30:K30)</f>
        <v>55833.812955112517</v>
      </c>
      <c r="M30" s="39">
        <f>L30/(G30+H30+I30+J30+K30)</f>
        <v>0.2687179871163034</v>
      </c>
      <c r="N30" s="39">
        <f>104/2080</f>
        <v>0.05</v>
      </c>
      <c r="O30" s="25">
        <f>G30*N30</f>
        <v>7597.2329881875039</v>
      </c>
      <c r="P30" s="25">
        <f>L30*N30</f>
        <v>2791.6906477556258</v>
      </c>
      <c r="Q30" s="40"/>
    </row>
    <row r="31" spans="1:17" ht="33" customHeight="1" x14ac:dyDescent="0.25">
      <c r="A31" s="50" t="str">
        <f t="shared" ref="A31:A35" si="22">A11</f>
        <v>Program Manager</v>
      </c>
      <c r="B31" s="19">
        <f t="shared" ref="B31:B32" si="23">B21*1.05</f>
        <v>88200</v>
      </c>
      <c r="C31" s="19">
        <f t="shared" ref="C31:C32" si="24">B31/F31</f>
        <v>42.403846153846153</v>
      </c>
      <c r="D31" s="52">
        <v>40</v>
      </c>
      <c r="E31" s="52">
        <v>52</v>
      </c>
      <c r="F31" s="52">
        <f t="shared" ref="F31:F32" si="25">D31*E31</f>
        <v>2080</v>
      </c>
      <c r="G31" s="25">
        <f>C31*F31</f>
        <v>88200</v>
      </c>
      <c r="H31" s="25">
        <f t="shared" ref="H31:H32" si="26">G31*0.1</f>
        <v>8820</v>
      </c>
      <c r="I31" s="25">
        <f t="shared" ref="I31:I32" si="27">G31*0.09</f>
        <v>7938</v>
      </c>
      <c r="J31" s="25">
        <f t="shared" ref="J31:J32" si="28">J21*1.05</f>
        <v>26964.327600000001</v>
      </c>
      <c r="K31" s="25"/>
      <c r="L31" s="25">
        <f t="shared" ref="L31:L32" si="29">SUM(H31:K31)</f>
        <v>43722.327600000004</v>
      </c>
      <c r="M31" s="39">
        <f t="shared" ref="M31:M32" si="30">L31/(G31+H31+I31+J31+K31)</f>
        <v>0.33142477392128739</v>
      </c>
      <c r="N31" s="39">
        <v>0.9</v>
      </c>
      <c r="O31" s="25">
        <f t="shared" ref="O31:O32" si="31">G31*N31</f>
        <v>79380</v>
      </c>
      <c r="P31" s="25">
        <f t="shared" ref="P31:P32" si="32">L31*N31</f>
        <v>39350.094840000005</v>
      </c>
      <c r="Q31" s="40"/>
    </row>
    <row r="32" spans="1:17" ht="33" customHeight="1" x14ac:dyDescent="0.25">
      <c r="A32" s="50" t="str">
        <f t="shared" si="22"/>
        <v>Program Assistant</v>
      </c>
      <c r="B32" s="19">
        <f t="shared" si="23"/>
        <v>77175</v>
      </c>
      <c r="C32" s="19">
        <f t="shared" si="24"/>
        <v>37.103365384615387</v>
      </c>
      <c r="D32" s="52">
        <v>40</v>
      </c>
      <c r="E32" s="52">
        <v>52</v>
      </c>
      <c r="F32" s="52">
        <f t="shared" si="25"/>
        <v>2080</v>
      </c>
      <c r="G32" s="25">
        <f t="shared" ref="G32" si="33">C32*F32</f>
        <v>77175</v>
      </c>
      <c r="H32" s="25">
        <f t="shared" si="26"/>
        <v>7717.5</v>
      </c>
      <c r="I32" s="25">
        <f t="shared" si="27"/>
        <v>6945.75</v>
      </c>
      <c r="J32" s="25">
        <f t="shared" si="28"/>
        <v>26964.327600000001</v>
      </c>
      <c r="K32" s="25"/>
      <c r="L32" s="25">
        <f t="shared" si="29"/>
        <v>41627.577600000004</v>
      </c>
      <c r="M32" s="39">
        <f t="shared" si="30"/>
        <v>0.35039288238473376</v>
      </c>
      <c r="N32" s="39">
        <v>0.9</v>
      </c>
      <c r="O32" s="25">
        <f t="shared" si="31"/>
        <v>69457.5</v>
      </c>
      <c r="P32" s="25">
        <f t="shared" si="32"/>
        <v>37464.819840000004</v>
      </c>
      <c r="Q32" s="40"/>
    </row>
    <row r="33" spans="1:17" ht="33" customHeight="1" x14ac:dyDescent="0.25">
      <c r="A33" s="50">
        <f t="shared" si="22"/>
        <v>0</v>
      </c>
      <c r="B33" s="19"/>
      <c r="C33" s="19"/>
      <c r="D33" s="52"/>
      <c r="E33" s="52"/>
      <c r="F33" s="52"/>
      <c r="G33" s="25"/>
      <c r="H33" s="25"/>
      <c r="I33" s="25"/>
      <c r="J33" s="25"/>
      <c r="K33" s="25"/>
      <c r="L33" s="25"/>
      <c r="M33" s="39"/>
      <c r="N33" s="39"/>
      <c r="O33" s="25"/>
      <c r="P33" s="25"/>
      <c r="Q33" s="40"/>
    </row>
    <row r="34" spans="1:17" ht="33" customHeight="1" x14ac:dyDescent="0.25">
      <c r="A34" s="50">
        <f t="shared" si="22"/>
        <v>0</v>
      </c>
      <c r="B34" s="19"/>
      <c r="C34" s="19"/>
      <c r="D34" s="52"/>
      <c r="E34" s="52"/>
      <c r="F34" s="52"/>
      <c r="G34" s="25"/>
      <c r="H34" s="25"/>
      <c r="I34" s="25"/>
      <c r="J34" s="25"/>
      <c r="K34" s="25"/>
      <c r="L34" s="25"/>
      <c r="M34" s="39"/>
      <c r="N34" s="39"/>
      <c r="O34" s="25"/>
      <c r="P34" s="25"/>
      <c r="Q34" s="40"/>
    </row>
    <row r="35" spans="1:17" ht="33" customHeight="1" x14ac:dyDescent="0.25">
      <c r="A35" s="50">
        <f t="shared" si="22"/>
        <v>0</v>
      </c>
      <c r="B35" s="19"/>
      <c r="C35" s="19"/>
      <c r="D35" s="52"/>
      <c r="E35" s="52"/>
      <c r="F35" s="52"/>
      <c r="G35" s="25"/>
      <c r="H35" s="25"/>
      <c r="I35" s="25"/>
      <c r="J35" s="25"/>
      <c r="K35" s="25"/>
      <c r="L35" s="25"/>
      <c r="M35" s="39"/>
      <c r="N35" s="39"/>
      <c r="O35" s="25"/>
      <c r="P35" s="25"/>
      <c r="Q35" s="40"/>
    </row>
    <row r="36" spans="1:17" x14ac:dyDescent="0.25">
      <c r="A36" s="307" t="s">
        <v>139</v>
      </c>
      <c r="B36" s="308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9"/>
      <c r="O36" s="25">
        <f>SUM(O30:O35)</f>
        <v>156434.73298818752</v>
      </c>
      <c r="P36" s="25">
        <f>SUM(P30:P35)</f>
        <v>79606.605327755635</v>
      </c>
      <c r="Q36" s="40">
        <f>SUM(O36:P36)</f>
        <v>236041.33831594314</v>
      </c>
    </row>
    <row r="37" spans="1:17" x14ac:dyDescent="0.25">
      <c r="Q37" s="40"/>
    </row>
    <row r="38" spans="1:17" x14ac:dyDescent="0.25">
      <c r="A38" s="313" t="s">
        <v>15</v>
      </c>
      <c r="B38" s="313"/>
      <c r="C38" s="313"/>
      <c r="D38" s="313"/>
      <c r="E38" s="313"/>
      <c r="F38" s="313"/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40"/>
    </row>
    <row r="39" spans="1:17" ht="30" x14ac:dyDescent="0.25">
      <c r="A39" s="59" t="s">
        <v>72</v>
      </c>
      <c r="B39" s="59" t="s">
        <v>121</v>
      </c>
      <c r="C39" s="59" t="s">
        <v>122</v>
      </c>
      <c r="D39" s="59" t="s">
        <v>123</v>
      </c>
      <c r="E39" s="59" t="s">
        <v>124</v>
      </c>
      <c r="F39" s="59" t="s">
        <v>125</v>
      </c>
      <c r="G39" s="59" t="s">
        <v>129</v>
      </c>
      <c r="H39" s="59" t="s">
        <v>130</v>
      </c>
      <c r="I39" s="59" t="s">
        <v>131</v>
      </c>
      <c r="J39" s="59" t="s">
        <v>126</v>
      </c>
      <c r="K39" s="59" t="s">
        <v>127</v>
      </c>
      <c r="L39" s="59" t="s">
        <v>128</v>
      </c>
      <c r="M39" s="59" t="s">
        <v>132</v>
      </c>
      <c r="N39" s="59" t="s">
        <v>133</v>
      </c>
      <c r="O39" s="59" t="s">
        <v>134</v>
      </c>
      <c r="P39" s="59" t="s">
        <v>135</v>
      </c>
      <c r="Q39" s="40"/>
    </row>
    <row r="40" spans="1:17" ht="32.25" customHeight="1" x14ac:dyDescent="0.25">
      <c r="A40" s="50" t="str">
        <f>A10</f>
        <v>Executive Director</v>
      </c>
      <c r="B40" s="19">
        <f>B30*1.05</f>
        <v>159541.89275193759</v>
      </c>
      <c r="C40" s="19">
        <f>B40/F40</f>
        <v>76.70283305381615</v>
      </c>
      <c r="D40" s="52">
        <v>40</v>
      </c>
      <c r="E40" s="52">
        <v>52</v>
      </c>
      <c r="F40" s="52">
        <f>D40*E40</f>
        <v>2080</v>
      </c>
      <c r="G40" s="25">
        <f>C40*F40</f>
        <v>159541.89275193759</v>
      </c>
      <c r="H40" s="25">
        <f>G40*0.1</f>
        <v>15954.189275193759</v>
      </c>
      <c r="I40" s="25">
        <f>G40*0.09</f>
        <v>14358.770347674383</v>
      </c>
      <c r="J40" s="25">
        <f>J30*1.05</f>
        <v>28312.543980000002</v>
      </c>
      <c r="K40" s="25"/>
      <c r="L40" s="25">
        <f>SUM(H40:K40)</f>
        <v>58625.503602868142</v>
      </c>
      <c r="M40" s="39">
        <f>L40/(G40+H40+I40+J40+K40)</f>
        <v>0.2687179871163034</v>
      </c>
      <c r="N40" s="39">
        <f>104/2080</f>
        <v>0.05</v>
      </c>
      <c r="O40" s="25">
        <f>G40*N40</f>
        <v>7977.0946375968797</v>
      </c>
      <c r="P40" s="25">
        <f>L40*N40</f>
        <v>2931.2751801434074</v>
      </c>
      <c r="Q40" s="40"/>
    </row>
    <row r="41" spans="1:17" ht="32.25" customHeight="1" x14ac:dyDescent="0.25">
      <c r="A41" s="50" t="str">
        <f t="shared" ref="A41:A45" si="34">A11</f>
        <v>Program Manager</v>
      </c>
      <c r="B41" s="19">
        <f t="shared" ref="B41:B42" si="35">B31*1.05</f>
        <v>92610</v>
      </c>
      <c r="C41" s="19">
        <f>C31*1.05</f>
        <v>44.52403846153846</v>
      </c>
      <c r="D41" s="52">
        <v>40</v>
      </c>
      <c r="E41" s="52">
        <v>52</v>
      </c>
      <c r="F41" s="52">
        <f t="shared" ref="F41:F42" si="36">D41*E41</f>
        <v>2080</v>
      </c>
      <c r="G41" s="25">
        <f>C41*F41</f>
        <v>92610</v>
      </c>
      <c r="H41" s="25">
        <f t="shared" ref="H41:H42" si="37">G41*0.1</f>
        <v>9261</v>
      </c>
      <c r="I41" s="25">
        <f t="shared" ref="I41:I42" si="38">G41*0.09</f>
        <v>8334.9</v>
      </c>
      <c r="J41" s="25">
        <f t="shared" ref="J41:J42" si="39">J31*1.05</f>
        <v>28312.543980000002</v>
      </c>
      <c r="K41" s="25"/>
      <c r="L41" s="25">
        <f t="shared" ref="L41:L42" si="40">SUM(H41:K41)</f>
        <v>45908.443980000004</v>
      </c>
      <c r="M41" s="39">
        <f t="shared" ref="M41:M42" si="41">L41/(G41+H41+I41+J41+K41)</f>
        <v>0.33142477392128739</v>
      </c>
      <c r="N41" s="39">
        <v>0.9</v>
      </c>
      <c r="O41" s="25">
        <f t="shared" ref="O41:O42" si="42">G41*N41</f>
        <v>83349</v>
      </c>
      <c r="P41" s="25">
        <f t="shared" ref="P41:P42" si="43">L41*N41</f>
        <v>41317.599582000003</v>
      </c>
      <c r="Q41" s="40"/>
    </row>
    <row r="42" spans="1:17" ht="32.25" customHeight="1" x14ac:dyDescent="0.25">
      <c r="A42" s="50" t="str">
        <f t="shared" si="34"/>
        <v>Program Assistant</v>
      </c>
      <c r="B42" s="19">
        <f t="shared" si="35"/>
        <v>81033.75</v>
      </c>
      <c r="C42" s="19">
        <f>C32*1.05</f>
        <v>38.95853365384616</v>
      </c>
      <c r="D42" s="52">
        <v>40</v>
      </c>
      <c r="E42" s="52">
        <v>52</v>
      </c>
      <c r="F42" s="52">
        <f t="shared" si="36"/>
        <v>2080</v>
      </c>
      <c r="G42" s="25">
        <f t="shared" ref="G42" si="44">C42*F42</f>
        <v>81033.750000000015</v>
      </c>
      <c r="H42" s="25">
        <f t="shared" si="37"/>
        <v>8103.3750000000018</v>
      </c>
      <c r="I42" s="25">
        <f t="shared" si="38"/>
        <v>7293.0375000000013</v>
      </c>
      <c r="J42" s="25">
        <f t="shared" si="39"/>
        <v>28312.543980000002</v>
      </c>
      <c r="K42" s="25"/>
      <c r="L42" s="25">
        <f t="shared" si="40"/>
        <v>43708.956480000008</v>
      </c>
      <c r="M42" s="39">
        <f t="shared" si="41"/>
        <v>0.35039288238473371</v>
      </c>
      <c r="N42" s="39">
        <v>0.9</v>
      </c>
      <c r="O42" s="25">
        <f t="shared" si="42"/>
        <v>72930.375000000015</v>
      </c>
      <c r="P42" s="25">
        <f t="shared" si="43"/>
        <v>39338.06083200001</v>
      </c>
      <c r="Q42" s="40"/>
    </row>
    <row r="43" spans="1:17" ht="32.25" customHeight="1" x14ac:dyDescent="0.25">
      <c r="A43" s="50">
        <f t="shared" si="34"/>
        <v>0</v>
      </c>
      <c r="B43" s="19"/>
      <c r="C43" s="19"/>
      <c r="D43" s="52"/>
      <c r="E43" s="52"/>
      <c r="F43" s="52"/>
      <c r="G43" s="25"/>
      <c r="H43" s="25"/>
      <c r="I43" s="25"/>
      <c r="J43" s="25"/>
      <c r="K43" s="25"/>
      <c r="L43" s="25"/>
      <c r="M43" s="39"/>
      <c r="N43" s="39"/>
      <c r="O43" s="25"/>
      <c r="P43" s="25"/>
      <c r="Q43" s="40"/>
    </row>
    <row r="44" spans="1:17" ht="32.25" customHeight="1" x14ac:dyDescent="0.25">
      <c r="A44" s="50">
        <f t="shared" si="34"/>
        <v>0</v>
      </c>
      <c r="B44" s="19"/>
      <c r="C44" s="19"/>
      <c r="D44" s="52"/>
      <c r="E44" s="52"/>
      <c r="F44" s="52"/>
      <c r="G44" s="25"/>
      <c r="H44" s="25"/>
      <c r="I44" s="25"/>
      <c r="J44" s="25"/>
      <c r="K44" s="25"/>
      <c r="L44" s="25"/>
      <c r="M44" s="39"/>
      <c r="N44" s="39"/>
      <c r="O44" s="25"/>
      <c r="P44" s="25"/>
      <c r="Q44" s="40"/>
    </row>
    <row r="45" spans="1:17" ht="32.25" customHeight="1" x14ac:dyDescent="0.25">
      <c r="A45" s="50">
        <f t="shared" si="34"/>
        <v>0</v>
      </c>
      <c r="B45" s="19"/>
      <c r="C45" s="19"/>
      <c r="D45" s="52"/>
      <c r="E45" s="52"/>
      <c r="F45" s="52"/>
      <c r="G45" s="25"/>
      <c r="H45" s="25"/>
      <c r="I45" s="25"/>
      <c r="J45" s="25"/>
      <c r="K45" s="25"/>
      <c r="L45" s="25"/>
      <c r="M45" s="39"/>
      <c r="N45" s="39"/>
      <c r="O45" s="25"/>
      <c r="P45" s="25"/>
      <c r="Q45" s="40"/>
    </row>
    <row r="46" spans="1:17" x14ac:dyDescent="0.25">
      <c r="A46" s="307" t="s">
        <v>140</v>
      </c>
      <c r="B46" s="308"/>
      <c r="C46" s="308"/>
      <c r="D46" s="308"/>
      <c r="E46" s="308"/>
      <c r="F46" s="308"/>
      <c r="G46" s="308"/>
      <c r="H46" s="308"/>
      <c r="I46" s="308"/>
      <c r="J46" s="308"/>
      <c r="K46" s="308"/>
      <c r="L46" s="308"/>
      <c r="M46" s="308"/>
      <c r="N46" s="309"/>
      <c r="O46" s="25">
        <f>SUM(O40:O45)</f>
        <v>164256.46963759689</v>
      </c>
      <c r="P46" s="25">
        <f>SUM(P40:P45)</f>
        <v>83586.935594143419</v>
      </c>
      <c r="Q46" s="40">
        <f>SUM(O46:P46)</f>
        <v>247843.40523174033</v>
      </c>
    </row>
    <row r="47" spans="1:17" x14ac:dyDescent="0.25">
      <c r="Q47" s="40"/>
    </row>
    <row r="48" spans="1:17" x14ac:dyDescent="0.25">
      <c r="A48" s="313" t="s">
        <v>93</v>
      </c>
      <c r="B48" s="313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3"/>
      <c r="N48" s="313"/>
      <c r="O48" s="313"/>
      <c r="P48" s="313"/>
      <c r="Q48" s="40"/>
    </row>
    <row r="49" spans="1:17" ht="30" x14ac:dyDescent="0.25">
      <c r="A49" s="59" t="s">
        <v>72</v>
      </c>
      <c r="B49" s="59" t="s">
        <v>121</v>
      </c>
      <c r="C49" s="59" t="s">
        <v>122</v>
      </c>
      <c r="D49" s="59" t="s">
        <v>123</v>
      </c>
      <c r="E49" s="59" t="s">
        <v>124</v>
      </c>
      <c r="F49" s="59" t="s">
        <v>125</v>
      </c>
      <c r="G49" s="59" t="s">
        <v>129</v>
      </c>
      <c r="H49" s="59" t="s">
        <v>130</v>
      </c>
      <c r="I49" s="59" t="s">
        <v>131</v>
      </c>
      <c r="J49" s="59" t="s">
        <v>126</v>
      </c>
      <c r="K49" s="59" t="s">
        <v>127</v>
      </c>
      <c r="L49" s="59" t="s">
        <v>128</v>
      </c>
      <c r="M49" s="59" t="s">
        <v>132</v>
      </c>
      <c r="N49" s="59" t="s">
        <v>133</v>
      </c>
      <c r="O49" s="59" t="s">
        <v>134</v>
      </c>
      <c r="P49" s="59" t="s">
        <v>135</v>
      </c>
      <c r="Q49" s="40"/>
    </row>
    <row r="50" spans="1:17" ht="31.5" customHeight="1" x14ac:dyDescent="0.25">
      <c r="A50" s="50" t="str">
        <f>A10</f>
        <v>Executive Director</v>
      </c>
      <c r="B50" s="19">
        <f>B40*1.05</f>
        <v>167518.98738953448</v>
      </c>
      <c r="C50" s="19">
        <f>B50/F50</f>
        <v>80.537974706506958</v>
      </c>
      <c r="D50" s="52">
        <v>40</v>
      </c>
      <c r="E50" s="52">
        <v>52</v>
      </c>
      <c r="F50" s="52">
        <f>D50*E50</f>
        <v>2080</v>
      </c>
      <c r="G50" s="25">
        <f>C50*F50</f>
        <v>167518.98738953448</v>
      </c>
      <c r="H50" s="25">
        <f>G50*0.1</f>
        <v>16751.898738953449</v>
      </c>
      <c r="I50" s="25">
        <f>G50*0.09</f>
        <v>15076.708865058103</v>
      </c>
      <c r="J50" s="25">
        <f>J40*1.05</f>
        <v>29728.171179000004</v>
      </c>
      <c r="K50" s="25">
        <f>C50*240</f>
        <v>19329.11392956167</v>
      </c>
      <c r="L50" s="25">
        <f>SUM(H50:K50)</f>
        <v>80885.89271257323</v>
      </c>
      <c r="M50" s="39">
        <f>L50/(G50+H50+I50+J50+K50)</f>
        <v>0.32562119020900393</v>
      </c>
      <c r="N50" s="39">
        <f>104/2080</f>
        <v>0.05</v>
      </c>
      <c r="O50" s="25">
        <f>G50*N50</f>
        <v>8375.9493694767243</v>
      </c>
      <c r="P50" s="25">
        <f>L50*N50</f>
        <v>4044.2946356286616</v>
      </c>
      <c r="Q50" s="40"/>
    </row>
    <row r="51" spans="1:17" ht="31.5" customHeight="1" x14ac:dyDescent="0.25">
      <c r="A51" s="50" t="str">
        <f t="shared" ref="A51:A55" si="45">A11</f>
        <v>Program Manager</v>
      </c>
      <c r="B51" s="19">
        <f t="shared" ref="B51:B52" si="46">B41*1.05</f>
        <v>97240.5</v>
      </c>
      <c r="C51" s="19">
        <f t="shared" ref="C51:C52" si="47">B51/F51</f>
        <v>46.750240384615381</v>
      </c>
      <c r="D51" s="52">
        <v>40</v>
      </c>
      <c r="E51" s="52">
        <v>52</v>
      </c>
      <c r="F51" s="52">
        <f t="shared" ref="F51:F52" si="48">D51*E51</f>
        <v>2080</v>
      </c>
      <c r="G51" s="25">
        <f>C51*F51</f>
        <v>97240.5</v>
      </c>
      <c r="H51" s="25">
        <f t="shared" ref="H51:H52" si="49">G51*0.1</f>
        <v>9724.0500000000011</v>
      </c>
      <c r="I51" s="25">
        <f t="shared" ref="I51:I52" si="50">G51*0.09</f>
        <v>8751.6450000000004</v>
      </c>
      <c r="J51" s="25">
        <f t="shared" ref="J51:J52" si="51">J41*1.05</f>
        <v>29728.171179000004</v>
      </c>
      <c r="K51" s="25">
        <f>C51*160</f>
        <v>7480.038461538461</v>
      </c>
      <c r="L51" s="25">
        <f t="shared" ref="L51:L52" si="52">SUM(H51:K51)</f>
        <v>55683.904640538465</v>
      </c>
      <c r="M51" s="39">
        <f t="shared" ref="M51:M52" si="53">L51/(G51+H51+I51+J51+K51)</f>
        <v>0.36412699968607437</v>
      </c>
      <c r="N51" s="39">
        <v>0.9</v>
      </c>
      <c r="O51" s="25">
        <f t="shared" ref="O51:O52" si="54">G51*N51</f>
        <v>87516.45</v>
      </c>
      <c r="P51" s="25">
        <f t="shared" ref="P51:P52" si="55">L51*N51</f>
        <v>50115.514176484619</v>
      </c>
      <c r="Q51" s="40"/>
    </row>
    <row r="52" spans="1:17" ht="31.5" customHeight="1" x14ac:dyDescent="0.25">
      <c r="A52" s="50" t="str">
        <f t="shared" si="45"/>
        <v>Program Assistant</v>
      </c>
      <c r="B52" s="19">
        <f t="shared" si="46"/>
        <v>85085.4375</v>
      </c>
      <c r="C52" s="19">
        <f t="shared" si="47"/>
        <v>40.906460336538458</v>
      </c>
      <c r="D52" s="52">
        <v>40</v>
      </c>
      <c r="E52" s="52">
        <v>52</v>
      </c>
      <c r="F52" s="52">
        <f t="shared" si="48"/>
        <v>2080</v>
      </c>
      <c r="G52" s="25">
        <f t="shared" ref="G52" si="56">C52*F52</f>
        <v>85085.4375</v>
      </c>
      <c r="H52" s="25">
        <f t="shared" si="49"/>
        <v>8508.5437500000007</v>
      </c>
      <c r="I52" s="25">
        <f t="shared" si="50"/>
        <v>7657.6893749999999</v>
      </c>
      <c r="J52" s="25">
        <f t="shared" si="51"/>
        <v>29728.171179000004</v>
      </c>
      <c r="K52" s="25">
        <f t="shared" ref="K52" si="57">C52*240</f>
        <v>9817.5504807692305</v>
      </c>
      <c r="L52" s="25">
        <f t="shared" si="52"/>
        <v>55711.95478476923</v>
      </c>
      <c r="M52" s="39">
        <f t="shared" si="53"/>
        <v>0.3956888254868331</v>
      </c>
      <c r="N52" s="39">
        <v>0.9</v>
      </c>
      <c r="O52" s="25">
        <f t="shared" si="54"/>
        <v>76576.893750000003</v>
      </c>
      <c r="P52" s="25">
        <f t="shared" si="55"/>
        <v>50140.759306292312</v>
      </c>
      <c r="Q52" s="40"/>
    </row>
    <row r="53" spans="1:17" ht="31.5" customHeight="1" x14ac:dyDescent="0.25">
      <c r="A53" s="50">
        <f t="shared" si="45"/>
        <v>0</v>
      </c>
      <c r="B53" s="19"/>
      <c r="C53" s="19"/>
      <c r="D53" s="52"/>
      <c r="E53" s="52"/>
      <c r="F53" s="52"/>
      <c r="G53" s="25"/>
      <c r="H53" s="25"/>
      <c r="I53" s="25"/>
      <c r="J53" s="25"/>
      <c r="K53" s="25"/>
      <c r="L53" s="25"/>
      <c r="M53" s="39"/>
      <c r="N53" s="39"/>
      <c r="O53" s="25"/>
      <c r="P53" s="25"/>
      <c r="Q53" s="40"/>
    </row>
    <row r="54" spans="1:17" ht="31.5" customHeight="1" x14ac:dyDescent="0.25">
      <c r="A54" s="50">
        <f t="shared" si="45"/>
        <v>0</v>
      </c>
      <c r="B54" s="19"/>
      <c r="C54" s="19"/>
      <c r="D54" s="52"/>
      <c r="E54" s="52"/>
      <c r="F54" s="52"/>
      <c r="G54" s="25"/>
      <c r="H54" s="25"/>
      <c r="I54" s="25"/>
      <c r="J54" s="25"/>
      <c r="K54" s="25"/>
      <c r="L54" s="25"/>
      <c r="M54" s="39"/>
      <c r="N54" s="39"/>
      <c r="O54" s="25"/>
      <c r="P54" s="25"/>
      <c r="Q54" s="40"/>
    </row>
    <row r="55" spans="1:17" ht="31.5" customHeight="1" x14ac:dyDescent="0.25">
      <c r="A55" s="50">
        <f t="shared" si="45"/>
        <v>0</v>
      </c>
      <c r="B55" s="19"/>
      <c r="C55" s="19"/>
      <c r="D55" s="52"/>
      <c r="E55" s="52"/>
      <c r="F55" s="52"/>
      <c r="G55" s="25"/>
      <c r="H55" s="25"/>
      <c r="I55" s="25"/>
      <c r="J55" s="25"/>
      <c r="K55" s="25"/>
      <c r="L55" s="25"/>
      <c r="M55" s="39"/>
      <c r="N55" s="39"/>
      <c r="O55" s="25"/>
      <c r="P55" s="25"/>
      <c r="Q55" s="40"/>
    </row>
    <row r="56" spans="1:17" x14ac:dyDescent="0.25">
      <c r="A56" s="307" t="s">
        <v>141</v>
      </c>
      <c r="B56" s="308"/>
      <c r="C56" s="308"/>
      <c r="D56" s="308"/>
      <c r="E56" s="308"/>
      <c r="F56" s="308"/>
      <c r="G56" s="308"/>
      <c r="H56" s="308"/>
      <c r="I56" s="308"/>
      <c r="J56" s="308"/>
      <c r="K56" s="308"/>
      <c r="L56" s="308"/>
      <c r="M56" s="308"/>
      <c r="N56" s="309"/>
      <c r="O56" s="25">
        <f>SUM(O50:O55)</f>
        <v>172469.29311947673</v>
      </c>
      <c r="P56" s="25">
        <f>SUM(P50:P55)</f>
        <v>104300.56811840559</v>
      </c>
      <c r="Q56" s="40">
        <f>SUM(O56:P56)</f>
        <v>276769.86123788229</v>
      </c>
    </row>
    <row r="57" spans="1:17" x14ac:dyDescent="0.25">
      <c r="Q57" s="40"/>
    </row>
    <row r="58" spans="1:17" x14ac:dyDescent="0.25">
      <c r="Q58" s="40"/>
    </row>
    <row r="59" spans="1:17" x14ac:dyDescent="0.25">
      <c r="Q59" s="40"/>
    </row>
    <row r="60" spans="1:17" x14ac:dyDescent="0.25">
      <c r="Q60" s="40"/>
    </row>
    <row r="61" spans="1:17" x14ac:dyDescent="0.25">
      <c r="Q61" s="40"/>
    </row>
    <row r="62" spans="1:17" x14ac:dyDescent="0.25">
      <c r="Q62" s="40"/>
    </row>
  </sheetData>
  <mergeCells count="16">
    <mergeCell ref="A36:N36"/>
    <mergeCell ref="A46:N46"/>
    <mergeCell ref="A56:N56"/>
    <mergeCell ref="A8:P8"/>
    <mergeCell ref="A18:P18"/>
    <mergeCell ref="A28:P28"/>
    <mergeCell ref="A38:P38"/>
    <mergeCell ref="A48:P48"/>
    <mergeCell ref="A6:G6"/>
    <mergeCell ref="A16:N16"/>
    <mergeCell ref="A26:N26"/>
    <mergeCell ref="B1:C1"/>
    <mergeCell ref="D1:E1"/>
    <mergeCell ref="F1:G1"/>
    <mergeCell ref="H1:I1"/>
    <mergeCell ref="J1:K1"/>
  </mergeCells>
  <pageMargins left="0.7" right="0.7" top="0.75" bottom="0.75" header="0.3" footer="0.3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CE69C-0476-45CD-8E79-4AE7484F9A73}">
  <dimension ref="A1:J39"/>
  <sheetViews>
    <sheetView topLeftCell="A14" workbookViewId="0">
      <selection activeCell="C27" sqref="C27"/>
    </sheetView>
  </sheetViews>
  <sheetFormatPr defaultRowHeight="15" x14ac:dyDescent="0.25"/>
  <cols>
    <col min="1" max="1" width="14.5703125" customWidth="1"/>
    <col min="2" max="2" width="28.140625" customWidth="1"/>
    <col min="3" max="3" width="43.42578125" style="20" customWidth="1"/>
    <col min="4" max="5" width="17.7109375" style="177" customWidth="1"/>
    <col min="6" max="9" width="17.7109375" customWidth="1"/>
    <col min="10" max="10" width="16.5703125" style="40" customWidth="1"/>
  </cols>
  <sheetData>
    <row r="1" spans="1:10" ht="36.75" customHeight="1" x14ac:dyDescent="0.25">
      <c r="A1" s="316" t="s">
        <v>92</v>
      </c>
      <c r="B1" s="317"/>
      <c r="C1" s="317"/>
      <c r="D1" s="317"/>
      <c r="E1" s="317"/>
      <c r="F1" s="317"/>
      <c r="G1" s="317"/>
      <c r="H1" s="317"/>
      <c r="I1" s="317"/>
      <c r="J1" s="317"/>
    </row>
    <row r="2" spans="1:10" s="44" customFormat="1" ht="28.5" customHeight="1" x14ac:dyDescent="0.25">
      <c r="A2" s="103" t="s">
        <v>80</v>
      </c>
      <c r="B2" s="103" t="s">
        <v>77</v>
      </c>
      <c r="C2" s="103" t="s">
        <v>91</v>
      </c>
      <c r="D2" s="103" t="s">
        <v>78</v>
      </c>
      <c r="E2" s="103" t="s">
        <v>79</v>
      </c>
      <c r="F2" s="103" t="s">
        <v>95</v>
      </c>
      <c r="G2" s="103" t="s">
        <v>96</v>
      </c>
      <c r="H2" s="103" t="s">
        <v>94</v>
      </c>
      <c r="I2" s="103" t="s">
        <v>97</v>
      </c>
      <c r="J2" s="163" t="s">
        <v>106</v>
      </c>
    </row>
    <row r="3" spans="1:10" ht="18.75" customHeight="1" x14ac:dyDescent="0.25">
      <c r="A3" s="104" t="s">
        <v>81</v>
      </c>
      <c r="B3" s="155" t="s">
        <v>224</v>
      </c>
      <c r="C3" s="155" t="s">
        <v>163</v>
      </c>
      <c r="D3" s="155">
        <v>4</v>
      </c>
      <c r="E3" s="155">
        <v>1</v>
      </c>
      <c r="F3" s="106">
        <v>1200</v>
      </c>
      <c r="G3" s="106">
        <v>200</v>
      </c>
      <c r="H3" s="106">
        <v>85</v>
      </c>
      <c r="I3" s="106">
        <v>100</v>
      </c>
      <c r="J3" s="107">
        <f>(F3*E3)+((G3+H3+I3)*D3)</f>
        <v>2740</v>
      </c>
    </row>
    <row r="4" spans="1:10" ht="18.75" customHeight="1" x14ac:dyDescent="0.25">
      <c r="A4" s="104"/>
      <c r="B4" s="105" t="s">
        <v>164</v>
      </c>
      <c r="C4" s="155" t="s">
        <v>226</v>
      </c>
      <c r="D4" s="155">
        <v>4</v>
      </c>
      <c r="E4" s="155">
        <v>1</v>
      </c>
      <c r="F4" s="106">
        <v>900</v>
      </c>
      <c r="G4" s="106">
        <v>200</v>
      </c>
      <c r="H4" s="106">
        <v>85</v>
      </c>
      <c r="I4" s="106">
        <v>100</v>
      </c>
      <c r="J4" s="107">
        <f t="shared" ref="J4:J5" si="0">(F4*E4)+((G4+H4+I4)*D4)</f>
        <v>2440</v>
      </c>
    </row>
    <row r="5" spans="1:10" ht="18.75" customHeight="1" x14ac:dyDescent="0.25">
      <c r="A5" s="104"/>
      <c r="B5" s="105" t="s">
        <v>165</v>
      </c>
      <c r="C5" s="155" t="s">
        <v>166</v>
      </c>
      <c r="D5" s="155">
        <v>4</v>
      </c>
      <c r="E5" s="155">
        <v>1</v>
      </c>
      <c r="F5" s="106">
        <v>500</v>
      </c>
      <c r="G5" s="106">
        <v>200</v>
      </c>
      <c r="H5" s="106">
        <v>85</v>
      </c>
      <c r="I5" s="106">
        <v>100</v>
      </c>
      <c r="J5" s="107">
        <f t="shared" si="0"/>
        <v>2040</v>
      </c>
    </row>
    <row r="6" spans="1:10" ht="18.75" customHeight="1" x14ac:dyDescent="0.25">
      <c r="A6" s="104"/>
      <c r="B6" s="108" t="s">
        <v>167</v>
      </c>
      <c r="C6" s="156" t="s">
        <v>168</v>
      </c>
      <c r="D6" s="156">
        <v>4</v>
      </c>
      <c r="E6" s="156">
        <v>1</v>
      </c>
      <c r="F6" s="109">
        <v>600</v>
      </c>
      <c r="G6" s="109">
        <v>200</v>
      </c>
      <c r="H6" s="109">
        <v>85</v>
      </c>
      <c r="I6" s="109">
        <v>100</v>
      </c>
      <c r="J6" s="107">
        <f>(F6*E6)+((G6+H6+I6)*D6)</f>
        <v>2140</v>
      </c>
    </row>
    <row r="7" spans="1:10" ht="18.75" customHeight="1" x14ac:dyDescent="0.25">
      <c r="A7" s="318" t="s">
        <v>107</v>
      </c>
      <c r="B7" s="318"/>
      <c r="C7" s="318"/>
      <c r="D7" s="318"/>
      <c r="E7" s="318"/>
      <c r="F7" s="318"/>
      <c r="G7" s="318"/>
      <c r="H7" s="318"/>
      <c r="I7" s="318"/>
      <c r="J7" s="110">
        <f>SUM(J3:J6)</f>
        <v>9360</v>
      </c>
    </row>
    <row r="8" spans="1:10" x14ac:dyDescent="0.25">
      <c r="B8" s="97"/>
      <c r="C8" s="168"/>
      <c r="D8" s="174"/>
      <c r="E8" s="174"/>
      <c r="F8" s="97"/>
      <c r="G8" s="97"/>
      <c r="H8" s="97"/>
      <c r="I8" s="97"/>
    </row>
    <row r="9" spans="1:10" ht="30" x14ac:dyDescent="0.25">
      <c r="A9" s="98" t="s">
        <v>80</v>
      </c>
      <c r="B9" s="98" t="s">
        <v>77</v>
      </c>
      <c r="C9" s="98" t="s">
        <v>91</v>
      </c>
      <c r="D9" s="98" t="s">
        <v>78</v>
      </c>
      <c r="E9" s="98" t="s">
        <v>79</v>
      </c>
      <c r="F9" s="98" t="s">
        <v>95</v>
      </c>
      <c r="G9" s="98" t="s">
        <v>96</v>
      </c>
      <c r="H9" s="98" t="s">
        <v>94</v>
      </c>
      <c r="I9" s="98" t="s">
        <v>97</v>
      </c>
      <c r="J9" s="164" t="s">
        <v>106</v>
      </c>
    </row>
    <row r="10" spans="1:10" ht="16.5" customHeight="1" x14ac:dyDescent="0.25">
      <c r="A10" s="99" t="s">
        <v>82</v>
      </c>
      <c r="B10" s="175" t="s">
        <v>224</v>
      </c>
      <c r="C10" s="100" t="s">
        <v>163</v>
      </c>
      <c r="D10" s="175">
        <v>4</v>
      </c>
      <c r="E10" s="175">
        <v>1</v>
      </c>
      <c r="F10" s="100">
        <v>1200</v>
      </c>
      <c r="G10" s="100">
        <v>200</v>
      </c>
      <c r="H10" s="100">
        <v>85</v>
      </c>
      <c r="I10" s="100">
        <v>100</v>
      </c>
      <c r="J10" s="101">
        <f>(F10*E10)+((G10+H10+I10)*D10)</f>
        <v>2740</v>
      </c>
    </row>
    <row r="11" spans="1:10" ht="16.5" customHeight="1" x14ac:dyDescent="0.25">
      <c r="A11" s="99"/>
      <c r="B11" s="100" t="s">
        <v>164</v>
      </c>
      <c r="C11" s="100" t="s">
        <v>226</v>
      </c>
      <c r="D11" s="175">
        <v>4</v>
      </c>
      <c r="E11" s="175">
        <v>1</v>
      </c>
      <c r="F11" s="100">
        <v>900</v>
      </c>
      <c r="G11" s="100">
        <v>200</v>
      </c>
      <c r="H11" s="100">
        <v>85</v>
      </c>
      <c r="I11" s="100">
        <v>100</v>
      </c>
      <c r="J11" s="101">
        <f t="shared" ref="J11:J14" si="1">(F11*E11)+((G11+H11+I11)*D11)</f>
        <v>2440</v>
      </c>
    </row>
    <row r="12" spans="1:10" ht="16.5" customHeight="1" x14ac:dyDescent="0.25">
      <c r="A12" s="99"/>
      <c r="B12" s="100" t="s">
        <v>165</v>
      </c>
      <c r="C12" s="100" t="s">
        <v>166</v>
      </c>
      <c r="D12" s="175">
        <v>4</v>
      </c>
      <c r="E12" s="175">
        <v>1</v>
      </c>
      <c r="F12" s="100">
        <v>500</v>
      </c>
      <c r="G12" s="100">
        <v>200</v>
      </c>
      <c r="H12" s="100">
        <v>85</v>
      </c>
      <c r="I12" s="100">
        <v>100</v>
      </c>
      <c r="J12" s="101">
        <f t="shared" si="1"/>
        <v>2040</v>
      </c>
    </row>
    <row r="13" spans="1:10" ht="16.5" customHeight="1" x14ac:dyDescent="0.25">
      <c r="A13" s="99"/>
      <c r="B13" s="100" t="s">
        <v>167</v>
      </c>
      <c r="C13" s="100" t="s">
        <v>168</v>
      </c>
      <c r="D13" s="175">
        <v>4</v>
      </c>
      <c r="E13" s="175">
        <v>1</v>
      </c>
      <c r="F13" s="100">
        <v>600</v>
      </c>
      <c r="G13" s="100">
        <v>200</v>
      </c>
      <c r="H13" s="100">
        <v>85</v>
      </c>
      <c r="I13" s="100">
        <v>100</v>
      </c>
      <c r="J13" s="101">
        <f t="shared" si="1"/>
        <v>2140</v>
      </c>
    </row>
    <row r="14" spans="1:10" ht="16.5" customHeight="1" x14ac:dyDescent="0.25">
      <c r="A14" s="99"/>
      <c r="B14" s="102"/>
      <c r="C14" s="169"/>
      <c r="D14" s="176"/>
      <c r="E14" s="176"/>
      <c r="F14" s="102"/>
      <c r="G14" s="102"/>
      <c r="H14" s="102"/>
      <c r="I14" s="102"/>
      <c r="J14" s="101">
        <f t="shared" si="1"/>
        <v>0</v>
      </c>
    </row>
    <row r="15" spans="1:10" ht="16.5" customHeight="1" x14ac:dyDescent="0.25">
      <c r="A15" s="319" t="s">
        <v>108</v>
      </c>
      <c r="B15" s="319"/>
      <c r="C15" s="319"/>
      <c r="D15" s="319"/>
      <c r="E15" s="319"/>
      <c r="F15" s="319"/>
      <c r="G15" s="319"/>
      <c r="H15" s="319"/>
      <c r="I15" s="319"/>
      <c r="J15" s="101">
        <f>SUM(J10:J14)</f>
        <v>9360</v>
      </c>
    </row>
    <row r="16" spans="1:10" x14ac:dyDescent="0.25">
      <c r="A16" s="95"/>
      <c r="B16" s="95"/>
      <c r="F16" s="95"/>
      <c r="G16" s="95"/>
      <c r="H16" s="95"/>
      <c r="I16" s="95"/>
      <c r="J16" s="96"/>
    </row>
    <row r="17" spans="1:10" ht="30" x14ac:dyDescent="0.25">
      <c r="A17" s="111" t="s">
        <v>80</v>
      </c>
      <c r="B17" s="111" t="s">
        <v>77</v>
      </c>
      <c r="C17" s="111" t="s">
        <v>91</v>
      </c>
      <c r="D17" s="111" t="s">
        <v>78</v>
      </c>
      <c r="E17" s="111" t="s">
        <v>79</v>
      </c>
      <c r="F17" s="111" t="s">
        <v>95</v>
      </c>
      <c r="G17" s="111" t="s">
        <v>96</v>
      </c>
      <c r="H17" s="111" t="s">
        <v>94</v>
      </c>
      <c r="I17" s="111" t="s">
        <v>97</v>
      </c>
      <c r="J17" s="165" t="s">
        <v>106</v>
      </c>
    </row>
    <row r="18" spans="1:10" ht="17.25" customHeight="1" x14ac:dyDescent="0.25">
      <c r="A18" s="112" t="s">
        <v>83</v>
      </c>
      <c r="B18" s="178" t="s">
        <v>224</v>
      </c>
      <c r="C18" s="113" t="s">
        <v>163</v>
      </c>
      <c r="D18" s="178">
        <v>4</v>
      </c>
      <c r="E18" s="178">
        <v>1</v>
      </c>
      <c r="F18" s="157">
        <v>1200</v>
      </c>
      <c r="G18" s="157">
        <v>200</v>
      </c>
      <c r="H18" s="157">
        <v>85</v>
      </c>
      <c r="I18" s="157">
        <v>100</v>
      </c>
      <c r="J18" s="114">
        <f>(F18*E18)+((G18+H18+I18)*D18)</f>
        <v>2740</v>
      </c>
    </row>
    <row r="19" spans="1:10" ht="17.25" customHeight="1" x14ac:dyDescent="0.25">
      <c r="A19" s="112"/>
      <c r="B19" s="113" t="s">
        <v>164</v>
      </c>
      <c r="C19" s="113" t="s">
        <v>226</v>
      </c>
      <c r="D19" s="178">
        <v>4</v>
      </c>
      <c r="E19" s="178">
        <v>1</v>
      </c>
      <c r="F19" s="157">
        <v>900</v>
      </c>
      <c r="G19" s="157">
        <v>200</v>
      </c>
      <c r="H19" s="157">
        <v>85</v>
      </c>
      <c r="I19" s="157">
        <v>100</v>
      </c>
      <c r="J19" s="114">
        <f t="shared" ref="J19:J22" si="2">(F19*E19)+((G19+H19+I19)*D19)</f>
        <v>2440</v>
      </c>
    </row>
    <row r="20" spans="1:10" ht="17.25" customHeight="1" x14ac:dyDescent="0.25">
      <c r="A20" s="112"/>
      <c r="B20" s="113" t="s">
        <v>165</v>
      </c>
      <c r="C20" s="113" t="s">
        <v>166</v>
      </c>
      <c r="D20" s="178">
        <v>4</v>
      </c>
      <c r="E20" s="178">
        <v>1</v>
      </c>
      <c r="F20" s="157">
        <v>500</v>
      </c>
      <c r="G20" s="157">
        <v>200</v>
      </c>
      <c r="H20" s="157">
        <v>85</v>
      </c>
      <c r="I20" s="157">
        <v>100</v>
      </c>
      <c r="J20" s="114">
        <f t="shared" si="2"/>
        <v>2040</v>
      </c>
    </row>
    <row r="21" spans="1:10" ht="17.25" customHeight="1" x14ac:dyDescent="0.25">
      <c r="A21" s="112"/>
      <c r="B21" s="115" t="s">
        <v>167</v>
      </c>
      <c r="C21" s="170" t="s">
        <v>168</v>
      </c>
      <c r="D21" s="179">
        <v>4</v>
      </c>
      <c r="E21" s="179">
        <v>1</v>
      </c>
      <c r="F21" s="158">
        <v>600</v>
      </c>
      <c r="G21" s="158">
        <v>200</v>
      </c>
      <c r="H21" s="158">
        <v>85</v>
      </c>
      <c r="I21" s="158">
        <v>100</v>
      </c>
      <c r="J21" s="114">
        <f t="shared" si="2"/>
        <v>2140</v>
      </c>
    </row>
    <row r="22" spans="1:10" ht="17.25" customHeight="1" x14ac:dyDescent="0.25">
      <c r="A22" s="112"/>
      <c r="B22" s="115"/>
      <c r="C22" s="170"/>
      <c r="D22" s="179"/>
      <c r="E22" s="179"/>
      <c r="F22" s="158"/>
      <c r="G22" s="158"/>
      <c r="H22" s="158"/>
      <c r="I22" s="158"/>
      <c r="J22" s="114">
        <f t="shared" si="2"/>
        <v>0</v>
      </c>
    </row>
    <row r="23" spans="1:10" ht="17.25" customHeight="1" x14ac:dyDescent="0.25">
      <c r="A23" s="320" t="s">
        <v>109</v>
      </c>
      <c r="B23" s="320"/>
      <c r="C23" s="320"/>
      <c r="D23" s="320"/>
      <c r="E23" s="320"/>
      <c r="F23" s="320"/>
      <c r="G23" s="320"/>
      <c r="H23" s="320"/>
      <c r="I23" s="320"/>
      <c r="J23" s="114">
        <f>SUM(J18:J22)</f>
        <v>9360</v>
      </c>
    </row>
    <row r="24" spans="1:10" x14ac:dyDescent="0.25">
      <c r="A24" s="95"/>
      <c r="B24" s="95"/>
      <c r="F24" s="95"/>
      <c r="G24" s="95"/>
      <c r="H24" s="95"/>
      <c r="I24" s="95"/>
      <c r="J24" s="96"/>
    </row>
    <row r="25" spans="1:10" ht="30" x14ac:dyDescent="0.25">
      <c r="A25" s="116" t="s">
        <v>80</v>
      </c>
      <c r="B25" s="116" t="s">
        <v>77</v>
      </c>
      <c r="C25" s="116" t="s">
        <v>91</v>
      </c>
      <c r="D25" s="116" t="s">
        <v>78</v>
      </c>
      <c r="E25" s="116" t="s">
        <v>79</v>
      </c>
      <c r="F25" s="116" t="s">
        <v>95</v>
      </c>
      <c r="G25" s="116" t="s">
        <v>96</v>
      </c>
      <c r="H25" s="116" t="s">
        <v>94</v>
      </c>
      <c r="I25" s="116" t="s">
        <v>97</v>
      </c>
      <c r="J25" s="166" t="s">
        <v>106</v>
      </c>
    </row>
    <row r="26" spans="1:10" ht="17.25" customHeight="1" x14ac:dyDescent="0.25">
      <c r="A26" s="117" t="s">
        <v>84</v>
      </c>
      <c r="B26" s="180" t="s">
        <v>225</v>
      </c>
      <c r="C26" s="118" t="s">
        <v>163</v>
      </c>
      <c r="D26" s="180">
        <v>4</v>
      </c>
      <c r="E26" s="180">
        <v>1</v>
      </c>
      <c r="F26" s="159">
        <v>1200</v>
      </c>
      <c r="G26" s="159">
        <v>200</v>
      </c>
      <c r="H26" s="159">
        <v>85</v>
      </c>
      <c r="I26" s="159">
        <v>100</v>
      </c>
      <c r="J26" s="119">
        <f>(F26*E26)+((G26+H26+I26)*D26)</f>
        <v>2740</v>
      </c>
    </row>
    <row r="27" spans="1:10" ht="17.25" customHeight="1" x14ac:dyDescent="0.25">
      <c r="A27" s="117"/>
      <c r="B27" s="118" t="s">
        <v>164</v>
      </c>
      <c r="C27" s="118" t="s">
        <v>226</v>
      </c>
      <c r="D27" s="180">
        <v>4</v>
      </c>
      <c r="E27" s="180">
        <v>1</v>
      </c>
      <c r="F27" s="159">
        <v>900</v>
      </c>
      <c r="G27" s="159">
        <v>200</v>
      </c>
      <c r="H27" s="159">
        <v>85</v>
      </c>
      <c r="I27" s="159">
        <v>100</v>
      </c>
      <c r="J27" s="119">
        <f t="shared" ref="J27:J30" si="3">(F27*E27)+((G27+H27+I27)*D27)</f>
        <v>2440</v>
      </c>
    </row>
    <row r="28" spans="1:10" ht="17.25" customHeight="1" x14ac:dyDescent="0.25">
      <c r="A28" s="117"/>
      <c r="B28" s="118" t="s">
        <v>165</v>
      </c>
      <c r="C28" s="118" t="s">
        <v>166</v>
      </c>
      <c r="D28" s="180">
        <v>4</v>
      </c>
      <c r="E28" s="180">
        <v>1</v>
      </c>
      <c r="F28" s="159">
        <v>500</v>
      </c>
      <c r="G28" s="159">
        <v>200</v>
      </c>
      <c r="H28" s="159">
        <v>85</v>
      </c>
      <c r="I28" s="159">
        <v>100</v>
      </c>
      <c r="J28" s="119">
        <f t="shared" si="3"/>
        <v>2040</v>
      </c>
    </row>
    <row r="29" spans="1:10" ht="17.25" customHeight="1" x14ac:dyDescent="0.25">
      <c r="A29" s="117"/>
      <c r="B29" s="118" t="s">
        <v>167</v>
      </c>
      <c r="C29" s="118" t="s">
        <v>168</v>
      </c>
      <c r="D29" s="180">
        <v>4</v>
      </c>
      <c r="E29" s="180">
        <v>1</v>
      </c>
      <c r="F29" s="159">
        <v>600</v>
      </c>
      <c r="G29" s="159">
        <v>200</v>
      </c>
      <c r="H29" s="159">
        <v>85</v>
      </c>
      <c r="I29" s="159">
        <v>100</v>
      </c>
      <c r="J29" s="119">
        <f t="shared" si="3"/>
        <v>2140</v>
      </c>
    </row>
    <row r="30" spans="1:10" ht="17.25" customHeight="1" x14ac:dyDescent="0.25">
      <c r="A30" s="117"/>
      <c r="B30" s="120"/>
      <c r="C30" s="171"/>
      <c r="D30" s="181"/>
      <c r="E30" s="181"/>
      <c r="F30" s="160"/>
      <c r="G30" s="160"/>
      <c r="H30" s="160"/>
      <c r="I30" s="160"/>
      <c r="J30" s="119">
        <f t="shared" si="3"/>
        <v>0</v>
      </c>
    </row>
    <row r="31" spans="1:10" ht="17.25" customHeight="1" x14ac:dyDescent="0.25">
      <c r="A31" s="314" t="s">
        <v>110</v>
      </c>
      <c r="B31" s="314"/>
      <c r="C31" s="314"/>
      <c r="D31" s="314"/>
      <c r="E31" s="314"/>
      <c r="F31" s="314"/>
      <c r="G31" s="314"/>
      <c r="H31" s="314"/>
      <c r="I31" s="314"/>
      <c r="J31" s="119">
        <f>SUM(J27:J30)</f>
        <v>6620</v>
      </c>
    </row>
    <row r="34" spans="1:10" x14ac:dyDescent="0.25">
      <c r="A34" t="s">
        <v>171</v>
      </c>
    </row>
    <row r="35" spans="1:10" ht="30" x14ac:dyDescent="0.25">
      <c r="A35" s="121" t="s">
        <v>80</v>
      </c>
      <c r="B35" s="121" t="s">
        <v>77</v>
      </c>
      <c r="C35" s="121" t="s">
        <v>91</v>
      </c>
      <c r="D35" s="121" t="s">
        <v>78</v>
      </c>
      <c r="E35" s="121" t="s">
        <v>79</v>
      </c>
      <c r="F35" s="121" t="s">
        <v>95</v>
      </c>
      <c r="G35" s="121" t="s">
        <v>96</v>
      </c>
      <c r="H35" s="121" t="s">
        <v>94</v>
      </c>
      <c r="I35" s="121" t="s">
        <v>97</v>
      </c>
      <c r="J35" s="167" t="s">
        <v>106</v>
      </c>
    </row>
    <row r="36" spans="1:10" x14ac:dyDescent="0.25">
      <c r="A36" s="122"/>
      <c r="B36" s="123" t="s">
        <v>170</v>
      </c>
      <c r="C36" s="172" t="s">
        <v>169</v>
      </c>
      <c r="D36" s="182">
        <v>5</v>
      </c>
      <c r="E36" s="182">
        <v>1</v>
      </c>
      <c r="F36" s="161">
        <v>950</v>
      </c>
      <c r="G36" s="161">
        <v>300</v>
      </c>
      <c r="H36" s="161">
        <v>85</v>
      </c>
      <c r="I36" s="161">
        <v>100</v>
      </c>
      <c r="J36" s="124">
        <f>(F36*E36)+((G36+H36+I36)*D36)</f>
        <v>3375</v>
      </c>
    </row>
    <row r="37" spans="1:10" x14ac:dyDescent="0.25">
      <c r="A37" s="122"/>
      <c r="B37" s="125"/>
      <c r="C37" s="173"/>
      <c r="D37" s="183"/>
      <c r="E37" s="183"/>
      <c r="F37" s="162"/>
      <c r="G37" s="162"/>
      <c r="H37" s="162"/>
      <c r="I37" s="162"/>
      <c r="J37" s="124">
        <f t="shared" ref="J37" si="4">(F37*E37)+((G37+H37+I37)*D37)</f>
        <v>0</v>
      </c>
    </row>
    <row r="38" spans="1:10" x14ac:dyDescent="0.25">
      <c r="A38" s="315" t="s">
        <v>111</v>
      </c>
      <c r="B38" s="315"/>
      <c r="C38" s="315"/>
      <c r="D38" s="315"/>
      <c r="E38" s="315"/>
      <c r="F38" s="315"/>
      <c r="G38" s="315"/>
      <c r="H38" s="315"/>
      <c r="I38" s="315"/>
      <c r="J38" s="124">
        <f>SUM(J36:J37)</f>
        <v>3375</v>
      </c>
    </row>
    <row r="39" spans="1:10" x14ac:dyDescent="0.25">
      <c r="B39" s="97"/>
      <c r="C39" s="168"/>
      <c r="D39" s="174"/>
      <c r="E39" s="174"/>
      <c r="F39" s="97"/>
      <c r="G39" s="97"/>
      <c r="H39" s="97"/>
      <c r="I39" s="97"/>
    </row>
  </sheetData>
  <mergeCells count="6">
    <mergeCell ref="A31:I31"/>
    <mergeCell ref="A38:I38"/>
    <mergeCell ref="A1:J1"/>
    <mergeCell ref="A7:I7"/>
    <mergeCell ref="A15:I15"/>
    <mergeCell ref="A23:I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4989C-FBA2-44C5-A84E-D01615D61EEA}">
  <sheetPr>
    <pageSetUpPr fitToPage="1"/>
  </sheetPr>
  <dimension ref="A1:N75"/>
  <sheetViews>
    <sheetView topLeftCell="A6" workbookViewId="0">
      <selection activeCell="B8" sqref="B8:C19"/>
    </sheetView>
  </sheetViews>
  <sheetFormatPr defaultRowHeight="15" x14ac:dyDescent="0.25"/>
  <cols>
    <col min="1" max="1" width="14.140625" customWidth="1"/>
    <col min="2" max="2" width="31.140625" customWidth="1"/>
    <col min="3" max="3" width="23.5703125" customWidth="1"/>
    <col min="4" max="4" width="4.5703125" customWidth="1"/>
    <col min="5" max="14" width="15" customWidth="1"/>
    <col min="15" max="16" width="16.5703125" customWidth="1"/>
  </cols>
  <sheetData>
    <row r="1" spans="2:14" ht="15.75" thickBot="1" x14ac:dyDescent="0.3"/>
    <row r="2" spans="2:14" ht="15.75" thickBot="1" x14ac:dyDescent="0.3">
      <c r="B2" s="341" t="s">
        <v>63</v>
      </c>
      <c r="C2" s="342"/>
      <c r="G2" s="344" t="s">
        <v>209</v>
      </c>
      <c r="H2" s="344"/>
      <c r="I2" s="344"/>
      <c r="J2" s="344"/>
      <c r="K2" s="344"/>
    </row>
    <row r="3" spans="2:14" ht="15.75" thickBot="1" x14ac:dyDescent="0.3">
      <c r="B3" s="192" t="s">
        <v>90</v>
      </c>
      <c r="C3" s="228">
        <f>C19</f>
        <v>36277089.76721888</v>
      </c>
    </row>
    <row r="4" spans="2:14" ht="15.75" thickBot="1" x14ac:dyDescent="0.3">
      <c r="B4" s="193" t="s">
        <v>64</v>
      </c>
      <c r="C4" s="228">
        <v>0</v>
      </c>
    </row>
    <row r="5" spans="2:14" ht="15.75" thickBot="1" x14ac:dyDescent="0.3">
      <c r="B5" s="193" t="s">
        <v>63</v>
      </c>
      <c r="C5" s="228">
        <f>C3+C4</f>
        <v>36277089.76721888</v>
      </c>
    </row>
    <row r="6" spans="2:14" ht="15.75" thickBot="1" x14ac:dyDescent="0.3">
      <c r="B6" s="193" t="s">
        <v>65</v>
      </c>
      <c r="C6" s="229">
        <f>C3/C5</f>
        <v>1</v>
      </c>
    </row>
    <row r="7" spans="2:14" ht="15.75" thickBot="1" x14ac:dyDescent="0.3">
      <c r="E7" s="346" t="s">
        <v>12</v>
      </c>
      <c r="F7" s="347"/>
      <c r="G7" s="347" t="s">
        <v>13</v>
      </c>
      <c r="H7" s="347"/>
      <c r="I7" s="347" t="s">
        <v>14</v>
      </c>
      <c r="J7" s="347"/>
      <c r="K7" s="350" t="s">
        <v>15</v>
      </c>
      <c r="L7" s="351"/>
      <c r="M7" s="347" t="s">
        <v>93</v>
      </c>
      <c r="N7" s="353"/>
    </row>
    <row r="8" spans="2:14" s="44" customFormat="1" ht="28.5" customHeight="1" thickBot="1" x14ac:dyDescent="0.3">
      <c r="B8" s="348" t="s">
        <v>66</v>
      </c>
      <c r="C8" s="349"/>
      <c r="E8" s="216" t="s">
        <v>20</v>
      </c>
      <c r="F8" s="217" t="s">
        <v>21</v>
      </c>
      <c r="G8" s="217" t="s">
        <v>20</v>
      </c>
      <c r="H8" s="217" t="s">
        <v>21</v>
      </c>
      <c r="I8" s="217" t="s">
        <v>20</v>
      </c>
      <c r="J8" s="217" t="s">
        <v>21</v>
      </c>
      <c r="K8" s="217" t="s">
        <v>20</v>
      </c>
      <c r="L8" s="217" t="s">
        <v>21</v>
      </c>
      <c r="M8" s="217" t="s">
        <v>20</v>
      </c>
      <c r="N8" s="218" t="s">
        <v>21</v>
      </c>
    </row>
    <row r="9" spans="2:14" ht="15.75" thickBot="1" x14ac:dyDescent="0.3">
      <c r="B9" s="192" t="s">
        <v>54</v>
      </c>
      <c r="C9" s="230">
        <f>SUM(E9:N9)</f>
        <v>2364895.8467584001</v>
      </c>
      <c r="E9" s="196">
        <f>E25</f>
        <v>432505</v>
      </c>
      <c r="F9" s="203">
        <f t="shared" ref="F9:N9" si="0">F25</f>
        <v>0</v>
      </c>
      <c r="G9" s="203">
        <f t="shared" si="0"/>
        <v>448496.7</v>
      </c>
      <c r="H9" s="203">
        <f t="shared" si="0"/>
        <v>0</v>
      </c>
      <c r="I9" s="203">
        <f t="shared" si="0"/>
        <v>470813.076</v>
      </c>
      <c r="J9" s="203">
        <f t="shared" si="0"/>
        <v>0</v>
      </c>
      <c r="K9" s="203">
        <f t="shared" si="0"/>
        <v>494242.01702999999</v>
      </c>
      <c r="L9" s="203">
        <f t="shared" si="0"/>
        <v>0</v>
      </c>
      <c r="M9" s="203">
        <f t="shared" si="0"/>
        <v>518839.05372840003</v>
      </c>
      <c r="N9" s="206">
        <f t="shared" si="0"/>
        <v>0</v>
      </c>
    </row>
    <row r="10" spans="2:14" ht="15.75" thickBot="1" x14ac:dyDescent="0.3">
      <c r="B10" s="193" t="s">
        <v>55</v>
      </c>
      <c r="C10" s="230">
        <f t="shared" ref="C10:C16" si="1">SUM(E10:N10)</f>
        <v>1381845.3961678585</v>
      </c>
      <c r="E10" s="196">
        <f>E26</f>
        <v>251771.87307692313</v>
      </c>
      <c r="F10" s="203">
        <f t="shared" ref="F10:N10" si="2">F26</f>
        <v>0</v>
      </c>
      <c r="G10" s="203">
        <f t="shared" si="2"/>
        <v>262250.05223076924</v>
      </c>
      <c r="H10" s="203">
        <f t="shared" si="2"/>
        <v>0</v>
      </c>
      <c r="I10" s="203">
        <f t="shared" si="2"/>
        <v>275321.92443230771</v>
      </c>
      <c r="J10" s="203">
        <f t="shared" si="2"/>
        <v>0</v>
      </c>
      <c r="K10" s="203">
        <f t="shared" si="2"/>
        <v>289046.17133162316</v>
      </c>
      <c r="L10" s="203">
        <f t="shared" si="2"/>
        <v>0</v>
      </c>
      <c r="M10" s="203">
        <f t="shared" si="2"/>
        <v>303455.37509623519</v>
      </c>
      <c r="N10" s="206">
        <f t="shared" si="2"/>
        <v>0</v>
      </c>
    </row>
    <row r="11" spans="2:14" ht="15.75" thickBot="1" x14ac:dyDescent="0.3">
      <c r="B11" s="193" t="s">
        <v>56</v>
      </c>
      <c r="C11" s="230">
        <f t="shared" si="1"/>
        <v>203604</v>
      </c>
      <c r="E11" s="197">
        <f>E37</f>
        <v>44464</v>
      </c>
      <c r="F11" s="198">
        <f t="shared" ref="F11:N11" si="3">F37</f>
        <v>0</v>
      </c>
      <c r="G11" s="198">
        <f t="shared" si="3"/>
        <v>38655</v>
      </c>
      <c r="H11" s="198">
        <f t="shared" si="3"/>
        <v>0</v>
      </c>
      <c r="I11" s="198">
        <f t="shared" si="3"/>
        <v>38655</v>
      </c>
      <c r="J11" s="198">
        <f t="shared" si="3"/>
        <v>0</v>
      </c>
      <c r="K11" s="198">
        <f t="shared" si="3"/>
        <v>38655</v>
      </c>
      <c r="L11" s="198">
        <f t="shared" si="3"/>
        <v>0</v>
      </c>
      <c r="M11" s="198">
        <f t="shared" si="3"/>
        <v>43175</v>
      </c>
      <c r="N11" s="199">
        <f t="shared" si="3"/>
        <v>0</v>
      </c>
    </row>
    <row r="12" spans="2:14" ht="15.75" thickBot="1" x14ac:dyDescent="0.3">
      <c r="B12" s="193" t="s">
        <v>25</v>
      </c>
      <c r="C12" s="230">
        <f t="shared" si="1"/>
        <v>0</v>
      </c>
      <c r="E12" s="197">
        <v>0</v>
      </c>
      <c r="F12" s="198">
        <v>0</v>
      </c>
      <c r="G12" s="198">
        <v>0</v>
      </c>
      <c r="H12" s="198">
        <v>0</v>
      </c>
      <c r="I12" s="198">
        <v>0</v>
      </c>
      <c r="J12" s="198">
        <v>0</v>
      </c>
      <c r="K12" s="198">
        <v>0</v>
      </c>
      <c r="L12" s="198">
        <v>0</v>
      </c>
      <c r="M12" s="198">
        <v>0</v>
      </c>
      <c r="N12" s="199">
        <v>0</v>
      </c>
    </row>
    <row r="13" spans="2:14" ht="15.75" thickBot="1" x14ac:dyDescent="0.3">
      <c r="B13" s="193" t="s">
        <v>57</v>
      </c>
      <c r="C13" s="230">
        <f t="shared" si="1"/>
        <v>352600</v>
      </c>
      <c r="E13" s="197">
        <f>E50</f>
        <v>96600</v>
      </c>
      <c r="F13" s="198">
        <f t="shared" ref="F13:N13" si="4">F50</f>
        <v>0</v>
      </c>
      <c r="G13" s="198">
        <f t="shared" si="4"/>
        <v>63700</v>
      </c>
      <c r="H13" s="198">
        <f t="shared" si="4"/>
        <v>0</v>
      </c>
      <c r="I13" s="198">
        <f t="shared" si="4"/>
        <v>63700</v>
      </c>
      <c r="J13" s="198">
        <f t="shared" si="4"/>
        <v>0</v>
      </c>
      <c r="K13" s="198">
        <f t="shared" si="4"/>
        <v>64900</v>
      </c>
      <c r="L13" s="198">
        <f t="shared" si="4"/>
        <v>0</v>
      </c>
      <c r="M13" s="198">
        <f t="shared" si="4"/>
        <v>63700</v>
      </c>
      <c r="N13" s="199">
        <f t="shared" si="4"/>
        <v>0</v>
      </c>
    </row>
    <row r="14" spans="2:14" ht="15.75" thickBot="1" x14ac:dyDescent="0.3">
      <c r="B14" s="193" t="s">
        <v>58</v>
      </c>
      <c r="C14" s="230">
        <f t="shared" si="1"/>
        <v>518500</v>
      </c>
      <c r="E14" s="197">
        <f>E62</f>
        <v>345700</v>
      </c>
      <c r="F14" s="198">
        <f t="shared" ref="F14:N14" si="5">F62</f>
        <v>0</v>
      </c>
      <c r="G14" s="198">
        <f t="shared" si="5"/>
        <v>43200</v>
      </c>
      <c r="H14" s="198">
        <f t="shared" si="5"/>
        <v>0</v>
      </c>
      <c r="I14" s="198">
        <f t="shared" si="5"/>
        <v>43200</v>
      </c>
      <c r="J14" s="198">
        <f t="shared" si="5"/>
        <v>0</v>
      </c>
      <c r="K14" s="198">
        <f t="shared" si="5"/>
        <v>43200</v>
      </c>
      <c r="L14" s="198">
        <f t="shared" si="5"/>
        <v>0</v>
      </c>
      <c r="M14" s="198">
        <f t="shared" si="5"/>
        <v>43200</v>
      </c>
      <c r="N14" s="199">
        <f t="shared" si="5"/>
        <v>0</v>
      </c>
    </row>
    <row r="15" spans="2:14" ht="15.75" thickBot="1" x14ac:dyDescent="0.3">
      <c r="B15" s="193" t="s">
        <v>36</v>
      </c>
      <c r="C15" s="230">
        <f t="shared" si="1"/>
        <v>0</v>
      </c>
      <c r="E15" s="197">
        <v>0</v>
      </c>
      <c r="F15" s="198">
        <v>0</v>
      </c>
      <c r="G15" s="198">
        <v>0</v>
      </c>
      <c r="H15" s="198">
        <v>0</v>
      </c>
      <c r="I15" s="198">
        <v>0</v>
      </c>
      <c r="J15" s="198">
        <v>0</v>
      </c>
      <c r="K15" s="198">
        <v>0</v>
      </c>
      <c r="L15" s="198">
        <v>0</v>
      </c>
      <c r="M15" s="19">
        <v>0</v>
      </c>
      <c r="N15" s="184">
        <v>0</v>
      </c>
    </row>
    <row r="16" spans="2:14" ht="15.75" thickBot="1" x14ac:dyDescent="0.3">
      <c r="B16" s="193" t="s">
        <v>38</v>
      </c>
      <c r="C16" s="230">
        <f t="shared" si="1"/>
        <v>30961500</v>
      </c>
      <c r="E16" s="197">
        <f>E70</f>
        <v>4334500</v>
      </c>
      <c r="F16" s="198">
        <f t="shared" ref="F16:N16" si="6">F70</f>
        <v>0</v>
      </c>
      <c r="G16" s="198">
        <f t="shared" si="6"/>
        <v>6180500</v>
      </c>
      <c r="H16" s="198">
        <f t="shared" si="6"/>
        <v>0</v>
      </c>
      <c r="I16" s="198">
        <f t="shared" si="6"/>
        <v>8058000</v>
      </c>
      <c r="J16" s="198">
        <f t="shared" si="6"/>
        <v>0</v>
      </c>
      <c r="K16" s="198">
        <f t="shared" si="6"/>
        <v>6809500</v>
      </c>
      <c r="L16" s="198">
        <f t="shared" si="6"/>
        <v>0</v>
      </c>
      <c r="M16" s="198">
        <f t="shared" si="6"/>
        <v>5579000</v>
      </c>
      <c r="N16" s="199">
        <f t="shared" si="6"/>
        <v>0</v>
      </c>
    </row>
    <row r="17" spans="1:14" ht="15.75" thickBot="1" x14ac:dyDescent="0.3">
      <c r="B17" s="193" t="s">
        <v>59</v>
      </c>
      <c r="C17" s="231">
        <f>SUM(C9:C16)</f>
        <v>35782945.242926255</v>
      </c>
      <c r="E17" s="197">
        <f>SUM(E9:E16)</f>
        <v>5505540.8730769232</v>
      </c>
      <c r="F17" s="198">
        <f t="shared" ref="F17:N17" si="7">SUM(F9:F16)</f>
        <v>0</v>
      </c>
      <c r="G17" s="198">
        <f t="shared" si="7"/>
        <v>7036801.752230769</v>
      </c>
      <c r="H17" s="198">
        <f t="shared" si="7"/>
        <v>0</v>
      </c>
      <c r="I17" s="198">
        <f t="shared" si="7"/>
        <v>8949690.0004323069</v>
      </c>
      <c r="J17" s="198">
        <f t="shared" si="7"/>
        <v>0</v>
      </c>
      <c r="K17" s="198">
        <f t="shared" si="7"/>
        <v>7739543.1883616233</v>
      </c>
      <c r="L17" s="198">
        <f t="shared" si="7"/>
        <v>0</v>
      </c>
      <c r="M17" s="198">
        <f t="shared" si="7"/>
        <v>6551369.4288246352</v>
      </c>
      <c r="N17" s="199">
        <f t="shared" si="7"/>
        <v>0</v>
      </c>
    </row>
    <row r="18" spans="1:14" ht="15.75" thickBot="1" x14ac:dyDescent="0.3">
      <c r="B18" s="193" t="s">
        <v>60</v>
      </c>
      <c r="C18" s="232">
        <f>SUM(E18:N18)</f>
        <v>494144.52429262589</v>
      </c>
      <c r="E18" s="207">
        <f>E75</f>
        <v>119504.08730769233</v>
      </c>
      <c r="F18" s="207">
        <f t="shared" ref="F18:N18" si="8">F75</f>
        <v>0</v>
      </c>
      <c r="G18" s="207">
        <f t="shared" si="8"/>
        <v>88030.175223076934</v>
      </c>
      <c r="H18" s="207">
        <f t="shared" si="8"/>
        <v>0</v>
      </c>
      <c r="I18" s="207">
        <f t="shared" si="8"/>
        <v>91569.000043230772</v>
      </c>
      <c r="J18" s="207">
        <f t="shared" si="8"/>
        <v>0</v>
      </c>
      <c r="K18" s="207">
        <f t="shared" si="8"/>
        <v>95404.318836162318</v>
      </c>
      <c r="L18" s="207">
        <f t="shared" si="8"/>
        <v>0</v>
      </c>
      <c r="M18" s="207">
        <f t="shared" si="8"/>
        <v>99636.942882463525</v>
      </c>
      <c r="N18" s="205">
        <f t="shared" si="8"/>
        <v>0</v>
      </c>
    </row>
    <row r="19" spans="1:14" ht="15.75" thickBot="1" x14ac:dyDescent="0.3">
      <c r="B19" s="200" t="s">
        <v>63</v>
      </c>
      <c r="C19" s="233">
        <f>SUM(C17:C18)</f>
        <v>36277089.76721888</v>
      </c>
      <c r="E19" s="202">
        <f>SUM(E17:E18)</f>
        <v>5625044.9603846157</v>
      </c>
      <c r="F19" s="202">
        <f t="shared" ref="F19:N19" si="9">SUM(F17:F18)</f>
        <v>0</v>
      </c>
      <c r="G19" s="202">
        <f t="shared" si="9"/>
        <v>7124831.9274538457</v>
      </c>
      <c r="H19" s="202">
        <f t="shared" si="9"/>
        <v>0</v>
      </c>
      <c r="I19" s="202">
        <f t="shared" si="9"/>
        <v>9041259.000475537</v>
      </c>
      <c r="J19" s="202">
        <f t="shared" si="9"/>
        <v>0</v>
      </c>
      <c r="K19" s="202">
        <f t="shared" si="9"/>
        <v>7834947.5071977852</v>
      </c>
      <c r="L19" s="202">
        <f t="shared" si="9"/>
        <v>0</v>
      </c>
      <c r="M19" s="202">
        <f t="shared" si="9"/>
        <v>6651006.3717070986</v>
      </c>
      <c r="N19" s="219">
        <f t="shared" si="9"/>
        <v>0</v>
      </c>
    </row>
    <row r="20" spans="1:14" ht="15.75" customHeight="1" x14ac:dyDescent="0.25"/>
    <row r="21" spans="1:14" x14ac:dyDescent="0.25">
      <c r="B21" s="352" t="s">
        <v>203</v>
      </c>
      <c r="C21" s="352"/>
      <c r="D21" s="352"/>
      <c r="E21" s="352"/>
      <c r="F21" s="352"/>
      <c r="G21" s="352"/>
      <c r="H21" s="352"/>
      <c r="I21" s="352"/>
      <c r="J21" s="352"/>
      <c r="K21" s="352"/>
      <c r="L21" s="352"/>
      <c r="M21" s="352"/>
      <c r="N21" s="352"/>
    </row>
    <row r="23" spans="1:14" x14ac:dyDescent="0.25">
      <c r="A23" s="345" t="s">
        <v>183</v>
      </c>
      <c r="B23" s="345"/>
      <c r="C23" s="345"/>
      <c r="E23" s="345" t="s">
        <v>12</v>
      </c>
      <c r="F23" s="345"/>
      <c r="G23" s="345" t="s">
        <v>13</v>
      </c>
      <c r="H23" s="345"/>
      <c r="I23" s="345" t="s">
        <v>14</v>
      </c>
      <c r="J23" s="345"/>
      <c r="K23" s="345" t="s">
        <v>15</v>
      </c>
      <c r="L23" s="345"/>
      <c r="M23" s="345" t="s">
        <v>93</v>
      </c>
      <c r="N23" s="345"/>
    </row>
    <row r="24" spans="1:14" s="43" customFormat="1" ht="35.25" customHeight="1" x14ac:dyDescent="0.25">
      <c r="A24" s="321" t="s">
        <v>206</v>
      </c>
      <c r="B24" s="321"/>
      <c r="C24" s="321"/>
      <c r="E24" s="190" t="s">
        <v>20</v>
      </c>
      <c r="F24" s="190" t="s">
        <v>21</v>
      </c>
      <c r="G24" s="190" t="s">
        <v>20</v>
      </c>
      <c r="H24" s="190" t="s">
        <v>21</v>
      </c>
      <c r="I24" s="190" t="s">
        <v>20</v>
      </c>
      <c r="J24" s="190" t="s">
        <v>21</v>
      </c>
      <c r="K24" s="190" t="s">
        <v>20</v>
      </c>
      <c r="L24" s="190" t="s">
        <v>21</v>
      </c>
      <c r="M24" s="47" t="s">
        <v>20</v>
      </c>
      <c r="N24" s="190" t="s">
        <v>21</v>
      </c>
    </row>
    <row r="25" spans="1:14" x14ac:dyDescent="0.25">
      <c r="A25" s="343" t="s">
        <v>116</v>
      </c>
      <c r="B25" s="343"/>
      <c r="C25" s="343"/>
      <c r="E25" s="45">
        <v>432505</v>
      </c>
      <c r="F25" s="32"/>
      <c r="G25" s="45">
        <v>448496.7</v>
      </c>
      <c r="H25" s="32"/>
      <c r="I25" s="45">
        <v>470813.076</v>
      </c>
      <c r="J25" s="32"/>
      <c r="K25" s="32">
        <v>494242.01702999999</v>
      </c>
      <c r="L25" s="32"/>
      <c r="M25" s="45">
        <v>518839.05372840003</v>
      </c>
      <c r="N25" s="32"/>
    </row>
    <row r="26" spans="1:14" ht="15.75" thickBot="1" x14ac:dyDescent="0.3">
      <c r="A26" s="343" t="s">
        <v>117</v>
      </c>
      <c r="B26" s="343"/>
      <c r="C26" s="343"/>
      <c r="E26" s="186">
        <v>251771.87307692313</v>
      </c>
      <c r="F26" s="187"/>
      <c r="G26" s="186">
        <v>262250.05223076924</v>
      </c>
      <c r="H26" s="187"/>
      <c r="I26" s="186">
        <v>275321.92443230771</v>
      </c>
      <c r="J26" s="187"/>
      <c r="K26" s="187">
        <v>289046.17133162316</v>
      </c>
      <c r="L26" s="187"/>
      <c r="M26" s="186">
        <v>303455.37509623519</v>
      </c>
      <c r="N26" s="187"/>
    </row>
    <row r="27" spans="1:14" ht="15.75" thickTop="1" x14ac:dyDescent="0.25">
      <c r="A27" s="333" t="s">
        <v>205</v>
      </c>
      <c r="B27" s="333"/>
      <c r="C27" s="333"/>
      <c r="E27" s="221">
        <f>SUM(E25:E26)</f>
        <v>684276.87307692319</v>
      </c>
      <c r="F27" s="221">
        <f t="shared" ref="F27:N27" si="10">SUM(F25:F26)</f>
        <v>0</v>
      </c>
      <c r="G27" s="221">
        <f t="shared" si="10"/>
        <v>710746.75223076926</v>
      </c>
      <c r="H27" s="221">
        <f t="shared" si="10"/>
        <v>0</v>
      </c>
      <c r="I27" s="221">
        <f t="shared" si="10"/>
        <v>746135.00043230772</v>
      </c>
      <c r="J27" s="221">
        <f t="shared" si="10"/>
        <v>0</v>
      </c>
      <c r="K27" s="221">
        <f t="shared" si="10"/>
        <v>783288.18836162309</v>
      </c>
      <c r="L27" s="221">
        <f t="shared" si="10"/>
        <v>0</v>
      </c>
      <c r="M27" s="221">
        <f t="shared" si="10"/>
        <v>822294.42882463522</v>
      </c>
      <c r="N27" s="221">
        <f t="shared" si="10"/>
        <v>0</v>
      </c>
    </row>
    <row r="29" spans="1:14" x14ac:dyDescent="0.25">
      <c r="A29" s="326" t="s">
        <v>196</v>
      </c>
      <c r="B29" s="326"/>
      <c r="C29" s="326"/>
    </row>
    <row r="30" spans="1:14" x14ac:dyDescent="0.25">
      <c r="A30" s="330" t="s">
        <v>197</v>
      </c>
      <c r="B30" s="331"/>
      <c r="C30" s="332"/>
      <c r="D30" s="188"/>
      <c r="E30" s="253" t="s">
        <v>12</v>
      </c>
      <c r="F30" s="253"/>
      <c r="G30" s="253" t="s">
        <v>13</v>
      </c>
      <c r="H30" s="253"/>
      <c r="I30" s="253" t="s">
        <v>14</v>
      </c>
      <c r="J30" s="253"/>
      <c r="K30" s="253" t="s">
        <v>15</v>
      </c>
      <c r="L30" s="253"/>
      <c r="M30" s="253" t="s">
        <v>93</v>
      </c>
      <c r="N30" s="253"/>
    </row>
    <row r="31" spans="1:14" s="44" customFormat="1" ht="32.25" customHeight="1" x14ac:dyDescent="0.25">
      <c r="A31" s="189" t="s">
        <v>16</v>
      </c>
      <c r="B31" s="189" t="s">
        <v>17</v>
      </c>
      <c r="C31" s="189" t="s">
        <v>18</v>
      </c>
      <c r="E31" s="190" t="s">
        <v>20</v>
      </c>
      <c r="F31" s="190" t="s">
        <v>21</v>
      </c>
      <c r="G31" s="190" t="s">
        <v>20</v>
      </c>
      <c r="H31" s="190" t="s">
        <v>21</v>
      </c>
      <c r="I31" s="190" t="s">
        <v>20</v>
      </c>
      <c r="J31" s="190" t="s">
        <v>21</v>
      </c>
      <c r="K31" s="190" t="s">
        <v>20</v>
      </c>
      <c r="L31" s="190" t="s">
        <v>21</v>
      </c>
      <c r="M31" s="190" t="s">
        <v>20</v>
      </c>
      <c r="N31" s="190" t="s">
        <v>21</v>
      </c>
    </row>
    <row r="32" spans="1:14" s="43" customFormat="1" ht="27" customHeight="1" x14ac:dyDescent="0.25">
      <c r="A32" s="50" t="s">
        <v>81</v>
      </c>
      <c r="B32" s="70" t="s">
        <v>210</v>
      </c>
      <c r="C32" s="50" t="s">
        <v>211</v>
      </c>
      <c r="E32" s="45">
        <f>'[1]Tab 1 travel '!J7</f>
        <v>9790</v>
      </c>
      <c r="F32" s="42"/>
      <c r="G32" s="45">
        <f>E32</f>
        <v>9790</v>
      </c>
      <c r="H32" s="42"/>
      <c r="I32" s="42">
        <f>E32</f>
        <v>9790</v>
      </c>
      <c r="J32" s="42"/>
      <c r="K32" s="222">
        <f>E32</f>
        <v>9790</v>
      </c>
      <c r="L32" s="50"/>
      <c r="M32" s="222">
        <f>E32</f>
        <v>9790</v>
      </c>
      <c r="N32" s="50"/>
    </row>
    <row r="33" spans="1:14" s="43" customFormat="1" ht="27" customHeight="1" x14ac:dyDescent="0.25">
      <c r="A33" s="50" t="s">
        <v>82</v>
      </c>
      <c r="B33" s="70" t="s">
        <v>210</v>
      </c>
      <c r="C33" s="50" t="s">
        <v>211</v>
      </c>
      <c r="E33" s="45">
        <f>'[1]Tab 1 travel '!J15</f>
        <v>10700</v>
      </c>
      <c r="F33" s="42"/>
      <c r="G33" s="45">
        <f>E33</f>
        <v>10700</v>
      </c>
      <c r="H33" s="42"/>
      <c r="I33" s="42">
        <f>E33</f>
        <v>10700</v>
      </c>
      <c r="J33" s="42"/>
      <c r="K33" s="222">
        <f>E33</f>
        <v>10700</v>
      </c>
      <c r="L33" s="50"/>
      <c r="M33" s="222">
        <f>E33</f>
        <v>10700</v>
      </c>
      <c r="N33" s="50"/>
    </row>
    <row r="34" spans="1:14" s="43" customFormat="1" ht="27" customHeight="1" x14ac:dyDescent="0.25">
      <c r="A34" s="50" t="s">
        <v>83</v>
      </c>
      <c r="B34" s="70" t="s">
        <v>210</v>
      </c>
      <c r="C34" s="50" t="s">
        <v>211</v>
      </c>
      <c r="E34" s="45">
        <f>'[1]Tab 1 travel '!J23</f>
        <v>9790</v>
      </c>
      <c r="F34" s="42"/>
      <c r="G34" s="45">
        <f>E34</f>
        <v>9790</v>
      </c>
      <c r="H34" s="42"/>
      <c r="I34" s="42">
        <f>E34</f>
        <v>9790</v>
      </c>
      <c r="J34" s="42"/>
      <c r="K34" s="222">
        <f>E34</f>
        <v>9790</v>
      </c>
      <c r="L34" s="50"/>
      <c r="M34" s="222">
        <f>E34</f>
        <v>9790</v>
      </c>
      <c r="N34" s="50"/>
    </row>
    <row r="35" spans="1:14" s="43" customFormat="1" ht="27" customHeight="1" x14ac:dyDescent="0.25">
      <c r="A35" s="50" t="s">
        <v>84</v>
      </c>
      <c r="B35" s="70" t="s">
        <v>210</v>
      </c>
      <c r="C35" s="50" t="s">
        <v>211</v>
      </c>
      <c r="E35" s="45">
        <f>'[1]Tab 1 travel '!J31</f>
        <v>8375</v>
      </c>
      <c r="F35" s="42"/>
      <c r="G35" s="45">
        <f>E35</f>
        <v>8375</v>
      </c>
      <c r="H35" s="42"/>
      <c r="I35" s="42">
        <f>E35</f>
        <v>8375</v>
      </c>
      <c r="J35" s="42"/>
      <c r="K35" s="222">
        <f>E35</f>
        <v>8375</v>
      </c>
      <c r="L35" s="50"/>
      <c r="M35" s="222">
        <f>E35</f>
        <v>8375</v>
      </c>
      <c r="N35" s="50"/>
    </row>
    <row r="36" spans="1:14" s="43" customFormat="1" ht="27" customHeight="1" x14ac:dyDescent="0.25">
      <c r="A36" s="50" t="s">
        <v>184</v>
      </c>
      <c r="B36" s="70" t="s">
        <v>210</v>
      </c>
      <c r="C36" s="50" t="s">
        <v>211</v>
      </c>
      <c r="E36" s="45">
        <f>'[1]Tab 1 travel '!J40</f>
        <v>5809</v>
      </c>
      <c r="F36" s="42"/>
      <c r="G36" s="42"/>
      <c r="H36" s="42"/>
      <c r="I36" s="42"/>
      <c r="J36" s="42"/>
      <c r="K36" s="185"/>
      <c r="L36" s="50"/>
      <c r="M36" s="185">
        <f>'[1]Tab 1 travel '!J47</f>
        <v>4520</v>
      </c>
      <c r="N36" s="50"/>
    </row>
    <row r="37" spans="1:14" x14ac:dyDescent="0.25">
      <c r="A37" s="327" t="s">
        <v>23</v>
      </c>
      <c r="B37" s="328"/>
      <c r="C37" s="329"/>
      <c r="E37" s="38">
        <f>SUM(E32:E36)</f>
        <v>44464</v>
      </c>
      <c r="F37" s="38">
        <f t="shared" ref="F37:N37" si="11">SUM(F32:F36)</f>
        <v>0</v>
      </c>
      <c r="G37" s="38">
        <f t="shared" si="11"/>
        <v>38655</v>
      </c>
      <c r="H37" s="38">
        <f t="shared" si="11"/>
        <v>0</v>
      </c>
      <c r="I37" s="38">
        <f t="shared" si="11"/>
        <v>38655</v>
      </c>
      <c r="J37" s="38">
        <f t="shared" si="11"/>
        <v>0</v>
      </c>
      <c r="K37" s="38">
        <f t="shared" si="11"/>
        <v>38655</v>
      </c>
      <c r="L37" s="38">
        <f t="shared" si="11"/>
        <v>0</v>
      </c>
      <c r="M37" s="38">
        <f t="shared" si="11"/>
        <v>43175</v>
      </c>
      <c r="N37" s="38">
        <f t="shared" si="11"/>
        <v>0</v>
      </c>
    </row>
    <row r="39" spans="1:14" ht="24" customHeight="1" x14ac:dyDescent="0.25">
      <c r="A39" s="326" t="s">
        <v>198</v>
      </c>
      <c r="B39" s="326"/>
      <c r="C39" s="326"/>
    </row>
    <row r="40" spans="1:14" ht="15" customHeight="1" x14ac:dyDescent="0.25">
      <c r="A40" s="336" t="s">
        <v>185</v>
      </c>
      <c r="B40" s="337"/>
      <c r="C40" s="338"/>
      <c r="E40" s="253" t="s">
        <v>12</v>
      </c>
      <c r="F40" s="253"/>
      <c r="G40" s="253" t="s">
        <v>13</v>
      </c>
      <c r="H40" s="253"/>
      <c r="I40" s="253" t="s">
        <v>14</v>
      </c>
      <c r="J40" s="253"/>
      <c r="K40" s="253" t="s">
        <v>15</v>
      </c>
      <c r="L40" s="253"/>
      <c r="M40" s="253" t="s">
        <v>93</v>
      </c>
      <c r="N40" s="253"/>
    </row>
    <row r="41" spans="1:14" s="44" customFormat="1" ht="30" x14ac:dyDescent="0.25">
      <c r="A41" s="28" t="s">
        <v>28</v>
      </c>
      <c r="B41" s="28" t="s">
        <v>26</v>
      </c>
      <c r="C41" s="28" t="s">
        <v>18</v>
      </c>
      <c r="E41" s="190" t="s">
        <v>20</v>
      </c>
      <c r="F41" s="190" t="s">
        <v>21</v>
      </c>
      <c r="G41" s="190" t="s">
        <v>20</v>
      </c>
      <c r="H41" s="190" t="s">
        <v>21</v>
      </c>
      <c r="I41" s="190" t="s">
        <v>20</v>
      </c>
      <c r="J41" s="190" t="s">
        <v>21</v>
      </c>
      <c r="K41" s="190" t="s">
        <v>20</v>
      </c>
      <c r="L41" s="190" t="s">
        <v>21</v>
      </c>
      <c r="M41" s="190" t="s">
        <v>20</v>
      </c>
      <c r="N41" s="190" t="s">
        <v>21</v>
      </c>
    </row>
    <row r="42" spans="1:14" ht="33" customHeight="1" x14ac:dyDescent="0.25">
      <c r="A42" s="50" t="s">
        <v>69</v>
      </c>
      <c r="B42" s="50" t="s">
        <v>214</v>
      </c>
      <c r="C42" s="50" t="s">
        <v>146</v>
      </c>
      <c r="E42" s="191">
        <f>5*2400</f>
        <v>12000</v>
      </c>
      <c r="F42" s="84"/>
      <c r="G42" s="84"/>
      <c r="H42" s="84"/>
      <c r="I42" s="84"/>
      <c r="J42" s="84"/>
      <c r="K42" s="85"/>
      <c r="L42" s="85"/>
      <c r="M42" s="85"/>
      <c r="N42" s="85"/>
    </row>
    <row r="43" spans="1:14" ht="33" customHeight="1" x14ac:dyDescent="0.25">
      <c r="A43" s="50" t="s">
        <v>71</v>
      </c>
      <c r="B43" s="50" t="s">
        <v>215</v>
      </c>
      <c r="C43" s="50" t="s">
        <v>145</v>
      </c>
      <c r="E43" s="191">
        <f>5*3000</f>
        <v>15000</v>
      </c>
      <c r="F43" s="84"/>
      <c r="G43" s="84"/>
      <c r="H43" s="84"/>
      <c r="I43" s="84"/>
      <c r="J43" s="84"/>
      <c r="K43" s="85"/>
      <c r="L43" s="85"/>
      <c r="M43" s="85"/>
      <c r="N43" s="85"/>
    </row>
    <row r="44" spans="1:14" ht="33" customHeight="1" x14ac:dyDescent="0.25">
      <c r="A44" s="50" t="s">
        <v>70</v>
      </c>
      <c r="B44" s="50" t="s">
        <v>216</v>
      </c>
      <c r="C44" s="50" t="s">
        <v>144</v>
      </c>
      <c r="E44" s="84">
        <f>2*1200</f>
        <v>2400</v>
      </c>
      <c r="F44" s="84"/>
      <c r="G44" s="84"/>
      <c r="H44" s="84"/>
      <c r="I44" s="84"/>
      <c r="J44" s="84"/>
      <c r="K44" s="85">
        <v>1200</v>
      </c>
      <c r="L44" s="85"/>
      <c r="M44" s="85"/>
      <c r="N44" s="85"/>
    </row>
    <row r="45" spans="1:14" ht="33" customHeight="1" x14ac:dyDescent="0.25">
      <c r="A45" s="50" t="s">
        <v>98</v>
      </c>
      <c r="B45" s="50" t="s">
        <v>142</v>
      </c>
      <c r="C45" s="50" t="s">
        <v>186</v>
      </c>
      <c r="E45" s="84">
        <f>3*1400</f>
        <v>4200</v>
      </c>
      <c r="F45" s="84"/>
      <c r="G45" s="84">
        <f>3*1400</f>
        <v>4200</v>
      </c>
      <c r="H45" s="84"/>
      <c r="I45" s="84">
        <f>3*1400</f>
        <v>4200</v>
      </c>
      <c r="J45" s="84"/>
      <c r="K45" s="84">
        <f>3*1400</f>
        <v>4200</v>
      </c>
      <c r="L45" s="85"/>
      <c r="M45" s="84">
        <f>3*1400</f>
        <v>4200</v>
      </c>
      <c r="N45" s="85"/>
    </row>
    <row r="46" spans="1:14" ht="33" customHeight="1" x14ac:dyDescent="0.25">
      <c r="A46" s="50" t="s">
        <v>187</v>
      </c>
      <c r="B46" s="50" t="s">
        <v>188</v>
      </c>
      <c r="C46" s="50" t="s">
        <v>189</v>
      </c>
      <c r="E46" s="84">
        <v>50000</v>
      </c>
      <c r="F46" s="84"/>
      <c r="G46" s="84">
        <v>50000</v>
      </c>
      <c r="H46" s="84"/>
      <c r="I46" s="84">
        <v>50000</v>
      </c>
      <c r="J46" s="84"/>
      <c r="K46" s="84">
        <v>50000</v>
      </c>
      <c r="L46" s="85"/>
      <c r="M46" s="84">
        <v>50000</v>
      </c>
      <c r="N46" s="85"/>
    </row>
    <row r="47" spans="1:14" ht="33" customHeight="1" x14ac:dyDescent="0.25">
      <c r="A47" s="50" t="s">
        <v>99</v>
      </c>
      <c r="B47" s="50" t="s">
        <v>217</v>
      </c>
      <c r="C47" s="50" t="s">
        <v>143</v>
      </c>
      <c r="E47" s="84">
        <v>5000</v>
      </c>
      <c r="F47" s="84"/>
      <c r="G47" s="84">
        <v>5000</v>
      </c>
      <c r="H47" s="84"/>
      <c r="I47" s="84">
        <v>5000</v>
      </c>
      <c r="J47" s="84"/>
      <c r="K47" s="84">
        <v>5000</v>
      </c>
      <c r="L47" s="85"/>
      <c r="M47" s="84">
        <v>5000</v>
      </c>
      <c r="N47" s="85"/>
    </row>
    <row r="48" spans="1:14" ht="33" customHeight="1" x14ac:dyDescent="0.25">
      <c r="A48" s="50" t="s">
        <v>190</v>
      </c>
      <c r="B48" s="50" t="s">
        <v>218</v>
      </c>
      <c r="C48" s="50" t="s">
        <v>191</v>
      </c>
      <c r="E48" s="84">
        <f>(10*300)+(5*100)</f>
        <v>3500</v>
      </c>
      <c r="F48" s="84"/>
      <c r="G48" s="84"/>
      <c r="H48" s="84"/>
      <c r="I48" s="84"/>
      <c r="J48" s="84"/>
      <c r="K48" s="85"/>
      <c r="L48" s="85"/>
      <c r="M48" s="85"/>
      <c r="N48" s="85"/>
    </row>
    <row r="49" spans="1:14" ht="33" customHeight="1" x14ac:dyDescent="0.25">
      <c r="A49" s="50" t="s">
        <v>103</v>
      </c>
      <c r="B49" s="50" t="s">
        <v>192</v>
      </c>
      <c r="C49" s="50" t="s">
        <v>104</v>
      </c>
      <c r="E49" s="84">
        <v>4500</v>
      </c>
      <c r="F49" s="84"/>
      <c r="G49" s="84">
        <v>4500</v>
      </c>
      <c r="H49" s="84"/>
      <c r="I49" s="84">
        <v>4500</v>
      </c>
      <c r="J49" s="84"/>
      <c r="K49" s="85">
        <v>4500</v>
      </c>
      <c r="L49" s="85"/>
      <c r="M49" s="85">
        <v>4500</v>
      </c>
      <c r="N49" s="85"/>
    </row>
    <row r="50" spans="1:14" x14ac:dyDescent="0.25">
      <c r="A50" s="327" t="s">
        <v>193</v>
      </c>
      <c r="B50" s="328"/>
      <c r="C50" s="329"/>
      <c r="E50" s="213">
        <f>SUM(E42:E49)</f>
        <v>96600</v>
      </c>
      <c r="F50" s="213">
        <f t="shared" ref="F50:N50" si="12">SUM(F42:F49)</f>
        <v>0</v>
      </c>
      <c r="G50" s="213">
        <f t="shared" si="12"/>
        <v>63700</v>
      </c>
      <c r="H50" s="213">
        <f t="shared" si="12"/>
        <v>0</v>
      </c>
      <c r="I50" s="213">
        <f t="shared" si="12"/>
        <v>63700</v>
      </c>
      <c r="J50" s="213">
        <f t="shared" si="12"/>
        <v>0</v>
      </c>
      <c r="K50" s="213">
        <f t="shared" si="12"/>
        <v>64900</v>
      </c>
      <c r="L50" s="213">
        <f t="shared" si="12"/>
        <v>0</v>
      </c>
      <c r="M50" s="213">
        <f t="shared" si="12"/>
        <v>63700</v>
      </c>
      <c r="N50" s="213">
        <f t="shared" si="12"/>
        <v>0</v>
      </c>
    </row>
    <row r="52" spans="1:14" ht="48" customHeight="1" x14ac:dyDescent="0.25">
      <c r="A52" s="339" t="s">
        <v>194</v>
      </c>
      <c r="B52" s="339"/>
      <c r="C52" s="339"/>
    </row>
    <row r="53" spans="1:14" ht="15.75" customHeight="1" x14ac:dyDescent="0.25">
      <c r="A53" s="334" t="s">
        <v>195</v>
      </c>
      <c r="B53" s="334"/>
      <c r="C53" s="334"/>
      <c r="E53" s="334" t="s">
        <v>12</v>
      </c>
      <c r="F53" s="334"/>
      <c r="G53" s="334" t="s">
        <v>13</v>
      </c>
      <c r="H53" s="334"/>
      <c r="I53" s="334" t="s">
        <v>14</v>
      </c>
      <c r="J53" s="334"/>
      <c r="K53" s="334" t="s">
        <v>15</v>
      </c>
      <c r="L53" s="334"/>
      <c r="M53" s="334" t="s">
        <v>93</v>
      </c>
      <c r="N53" s="334"/>
    </row>
    <row r="54" spans="1:14" s="44" customFormat="1" ht="27.75" customHeight="1" x14ac:dyDescent="0.25">
      <c r="A54" s="28" t="s">
        <v>32</v>
      </c>
      <c r="B54" s="28" t="s">
        <v>67</v>
      </c>
      <c r="C54" s="28" t="s">
        <v>33</v>
      </c>
      <c r="E54" s="190" t="s">
        <v>20</v>
      </c>
      <c r="F54" s="190" t="s">
        <v>21</v>
      </c>
      <c r="G54" s="190" t="s">
        <v>20</v>
      </c>
      <c r="H54" s="190" t="s">
        <v>21</v>
      </c>
      <c r="I54" s="190" t="s">
        <v>20</v>
      </c>
      <c r="J54" s="190" t="s">
        <v>21</v>
      </c>
      <c r="K54" s="190" t="s">
        <v>20</v>
      </c>
      <c r="L54" s="190" t="s">
        <v>21</v>
      </c>
      <c r="M54" s="190" t="s">
        <v>20</v>
      </c>
      <c r="N54" s="190" t="s">
        <v>21</v>
      </c>
    </row>
    <row r="55" spans="1:14" s="43" customFormat="1" ht="27" customHeight="1" x14ac:dyDescent="0.25">
      <c r="A55" s="50" t="s">
        <v>53</v>
      </c>
      <c r="B55" s="50" t="s">
        <v>73</v>
      </c>
      <c r="C55" s="50" t="s">
        <v>74</v>
      </c>
      <c r="E55" s="47">
        <v>6000</v>
      </c>
      <c r="F55" s="47"/>
      <c r="G55" s="47">
        <v>6000</v>
      </c>
      <c r="H55" s="208"/>
      <c r="I55" s="47">
        <v>6000</v>
      </c>
      <c r="J55" s="208"/>
      <c r="K55" s="47">
        <v>6000</v>
      </c>
      <c r="L55" s="47"/>
      <c r="M55" s="47">
        <v>6000</v>
      </c>
      <c r="N55" s="47"/>
    </row>
    <row r="56" spans="1:14" s="43" customFormat="1" ht="27" customHeight="1" x14ac:dyDescent="0.25">
      <c r="A56" s="50" t="s">
        <v>53</v>
      </c>
      <c r="B56" s="50" t="s">
        <v>73</v>
      </c>
      <c r="C56" s="50" t="s">
        <v>75</v>
      </c>
      <c r="E56" s="46">
        <v>7200</v>
      </c>
      <c r="F56" s="209"/>
      <c r="G56" s="46">
        <v>7200</v>
      </c>
      <c r="H56" s="208"/>
      <c r="I56" s="46">
        <v>7200</v>
      </c>
      <c r="J56" s="208"/>
      <c r="K56" s="46">
        <v>7200</v>
      </c>
      <c r="L56" s="47"/>
      <c r="M56" s="46">
        <v>7200</v>
      </c>
      <c r="N56" s="47"/>
    </row>
    <row r="57" spans="1:14" s="43" customFormat="1" ht="27" customHeight="1" x14ac:dyDescent="0.25">
      <c r="A57" s="50" t="s">
        <v>53</v>
      </c>
      <c r="B57" s="50" t="s">
        <v>73</v>
      </c>
      <c r="C57" s="50" t="s">
        <v>76</v>
      </c>
      <c r="E57" s="45">
        <v>10000</v>
      </c>
      <c r="F57" s="208"/>
      <c r="G57" s="45">
        <v>10000</v>
      </c>
      <c r="H57" s="208"/>
      <c r="I57" s="45">
        <v>10000</v>
      </c>
      <c r="J57" s="208"/>
      <c r="K57" s="45">
        <v>10000</v>
      </c>
      <c r="L57" s="47"/>
      <c r="M57" s="45">
        <v>10000</v>
      </c>
      <c r="N57" s="47"/>
    </row>
    <row r="58" spans="1:14" s="43" customFormat="1" ht="27" customHeight="1" x14ac:dyDescent="0.25">
      <c r="A58" s="50" t="s">
        <v>53</v>
      </c>
      <c r="B58" s="50" t="s">
        <v>73</v>
      </c>
      <c r="C58" s="50" t="s">
        <v>202</v>
      </c>
      <c r="E58" s="45">
        <v>5000</v>
      </c>
      <c r="F58" s="208"/>
      <c r="G58" s="45">
        <v>5000</v>
      </c>
      <c r="H58" s="208"/>
      <c r="I58" s="45">
        <v>5000</v>
      </c>
      <c r="J58" s="208"/>
      <c r="K58" s="45">
        <v>5000</v>
      </c>
      <c r="L58" s="47"/>
      <c r="M58" s="45">
        <v>5000</v>
      </c>
      <c r="N58" s="47"/>
    </row>
    <row r="59" spans="1:14" s="43" customFormat="1" ht="27" customHeight="1" x14ac:dyDescent="0.25">
      <c r="A59" s="50" t="s">
        <v>53</v>
      </c>
      <c r="B59" s="50" t="s">
        <v>73</v>
      </c>
      <c r="C59" s="50" t="s">
        <v>201</v>
      </c>
      <c r="E59" s="45">
        <v>110000</v>
      </c>
      <c r="F59" s="208"/>
      <c r="G59" s="45">
        <v>10000</v>
      </c>
      <c r="H59" s="208"/>
      <c r="I59" s="45">
        <v>10000</v>
      </c>
      <c r="J59" s="208"/>
      <c r="K59" s="45">
        <v>10000</v>
      </c>
      <c r="L59" s="47"/>
      <c r="M59" s="45">
        <v>10000</v>
      </c>
      <c r="N59" s="47"/>
    </row>
    <row r="60" spans="1:14" s="43" customFormat="1" ht="27" customHeight="1" x14ac:dyDescent="0.25">
      <c r="A60" s="50" t="s">
        <v>53</v>
      </c>
      <c r="B60" s="50" t="s">
        <v>73</v>
      </c>
      <c r="C60" s="50" t="s">
        <v>200</v>
      </c>
      <c r="E60" s="45">
        <v>7500</v>
      </c>
      <c r="F60" s="208"/>
      <c r="G60" s="45">
        <v>5000</v>
      </c>
      <c r="H60" s="208"/>
      <c r="I60" s="45">
        <v>5000</v>
      </c>
      <c r="J60" s="208"/>
      <c r="K60" s="45">
        <v>5000</v>
      </c>
      <c r="L60" s="47"/>
      <c r="M60" s="45">
        <v>5000</v>
      </c>
      <c r="N60" s="47"/>
    </row>
    <row r="61" spans="1:14" s="43" customFormat="1" ht="27" customHeight="1" x14ac:dyDescent="0.25">
      <c r="A61" s="50" t="s">
        <v>53</v>
      </c>
      <c r="B61" s="50" t="s">
        <v>73</v>
      </c>
      <c r="C61" s="50" t="s">
        <v>199</v>
      </c>
      <c r="E61" s="45">
        <v>200000</v>
      </c>
      <c r="F61" s="208"/>
      <c r="G61" s="208"/>
      <c r="H61" s="208"/>
      <c r="I61" s="208"/>
      <c r="J61" s="208"/>
      <c r="K61" s="47"/>
      <c r="L61" s="47"/>
      <c r="M61" s="47"/>
      <c r="N61" s="47"/>
    </row>
    <row r="62" spans="1:14" x14ac:dyDescent="0.25">
      <c r="A62" s="327" t="s">
        <v>35</v>
      </c>
      <c r="B62" s="328"/>
      <c r="C62" s="329"/>
      <c r="E62" s="214">
        <f>SUM(E55:E61)</f>
        <v>345700</v>
      </c>
      <c r="F62" s="214">
        <f t="shared" ref="F62:N62" si="13">SUM(F55:F61)</f>
        <v>0</v>
      </c>
      <c r="G62" s="214">
        <f t="shared" si="13"/>
        <v>43200</v>
      </c>
      <c r="H62" s="214">
        <f t="shared" si="13"/>
        <v>0</v>
      </c>
      <c r="I62" s="214">
        <f t="shared" si="13"/>
        <v>43200</v>
      </c>
      <c r="J62" s="214">
        <f t="shared" si="13"/>
        <v>0</v>
      </c>
      <c r="K62" s="214">
        <f t="shared" si="13"/>
        <v>43200</v>
      </c>
      <c r="L62" s="214">
        <f t="shared" si="13"/>
        <v>0</v>
      </c>
      <c r="M62" s="214">
        <f t="shared" si="13"/>
        <v>43200</v>
      </c>
      <c r="N62" s="214">
        <f t="shared" si="13"/>
        <v>0</v>
      </c>
    </row>
    <row r="64" spans="1:14" x14ac:dyDescent="0.25">
      <c r="A64" s="340" t="s">
        <v>208</v>
      </c>
      <c r="B64" s="340"/>
      <c r="C64" s="340"/>
    </row>
    <row r="65" spans="1:14" ht="15.75" customHeight="1" x14ac:dyDescent="0.25">
      <c r="A65" s="334" t="s">
        <v>38</v>
      </c>
      <c r="B65" s="334"/>
      <c r="C65" s="334"/>
      <c r="E65" s="335" t="s">
        <v>12</v>
      </c>
      <c r="F65" s="335"/>
      <c r="G65" s="335" t="s">
        <v>13</v>
      </c>
      <c r="H65" s="335"/>
      <c r="I65" s="335" t="s">
        <v>14</v>
      </c>
      <c r="J65" s="335"/>
      <c r="K65" s="334" t="s">
        <v>15</v>
      </c>
      <c r="L65" s="334"/>
      <c r="M65" s="334" t="s">
        <v>93</v>
      </c>
      <c r="N65" s="334"/>
    </row>
    <row r="66" spans="1:14" s="44" customFormat="1" ht="27" customHeight="1" x14ac:dyDescent="0.25">
      <c r="A66" s="211" t="s">
        <v>37</v>
      </c>
      <c r="B66" s="211" t="s">
        <v>18</v>
      </c>
      <c r="C66" s="211" t="s">
        <v>9</v>
      </c>
      <c r="E66" s="210" t="s">
        <v>20</v>
      </c>
      <c r="F66" s="210" t="s">
        <v>21</v>
      </c>
      <c r="G66" s="210" t="s">
        <v>20</v>
      </c>
      <c r="H66" s="210" t="s">
        <v>21</v>
      </c>
      <c r="I66" s="210" t="s">
        <v>20</v>
      </c>
      <c r="J66" s="210" t="s">
        <v>21</v>
      </c>
      <c r="K66" s="190" t="s">
        <v>20</v>
      </c>
      <c r="L66" s="190" t="s">
        <v>21</v>
      </c>
      <c r="M66" s="190" t="s">
        <v>20</v>
      </c>
      <c r="N66" s="190" t="s">
        <v>21</v>
      </c>
    </row>
    <row r="67" spans="1:14" ht="27" customHeight="1" x14ac:dyDescent="0.25">
      <c r="A67" s="50">
        <v>6107</v>
      </c>
      <c r="B67" s="50" t="s">
        <v>204</v>
      </c>
      <c r="C67" s="50" t="s">
        <v>207</v>
      </c>
      <c r="E67" s="63">
        <f>'[1]Incentive program detail'!E13</f>
        <v>4310500</v>
      </c>
      <c r="F67" s="63"/>
      <c r="G67" s="63">
        <f>'[1]Incentive program detail'!E26</f>
        <v>6156500</v>
      </c>
      <c r="H67" s="63"/>
      <c r="I67" s="63">
        <f>'[1]Incentive program detail'!E39</f>
        <v>8034000</v>
      </c>
      <c r="J67" s="63"/>
      <c r="K67" s="63">
        <f>'[1]Incentive program detail'!E52</f>
        <v>6785500</v>
      </c>
      <c r="L67" s="52"/>
      <c r="M67" s="63">
        <f>'[1]Incentive program detail'!E65</f>
        <v>5555000</v>
      </c>
      <c r="N67" s="52"/>
    </row>
    <row r="68" spans="1:14" ht="27" customHeight="1" x14ac:dyDescent="0.25">
      <c r="A68" s="50" t="s">
        <v>102</v>
      </c>
      <c r="B68" s="50" t="s">
        <v>101</v>
      </c>
      <c r="C68" s="50" t="s">
        <v>113</v>
      </c>
      <c r="E68" s="45">
        <f>2000*12</f>
        <v>24000</v>
      </c>
      <c r="F68" s="32"/>
      <c r="G68" s="45">
        <f>2000*12</f>
        <v>24000</v>
      </c>
      <c r="H68" s="32"/>
      <c r="I68" s="45">
        <f>2000*12</f>
        <v>24000</v>
      </c>
      <c r="J68" s="32"/>
      <c r="K68" s="45">
        <f>2000*12</f>
        <v>24000</v>
      </c>
      <c r="L68" s="52"/>
      <c r="M68" s="45">
        <f>2000*12</f>
        <v>24000</v>
      </c>
      <c r="N68" s="52"/>
    </row>
    <row r="69" spans="1:14" ht="27" customHeight="1" x14ac:dyDescent="0.25">
      <c r="A69" s="52"/>
      <c r="B69" s="52"/>
      <c r="C69" s="52"/>
      <c r="E69" s="45"/>
      <c r="F69" s="32"/>
      <c r="G69" s="32"/>
      <c r="H69" s="32"/>
      <c r="I69" s="32"/>
      <c r="J69" s="32"/>
      <c r="K69" s="52"/>
      <c r="L69" s="52"/>
      <c r="M69" s="52"/>
      <c r="N69" s="52"/>
    </row>
    <row r="70" spans="1:14" ht="15" customHeight="1" x14ac:dyDescent="0.25">
      <c r="A70" s="327" t="s">
        <v>39</v>
      </c>
      <c r="B70" s="328"/>
      <c r="C70" s="329"/>
      <c r="E70" s="38">
        <f>SUM(E67:E69)</f>
        <v>4334500</v>
      </c>
      <c r="F70" s="38">
        <f t="shared" ref="F70:N70" si="14">SUM(F67:F69)</f>
        <v>0</v>
      </c>
      <c r="G70" s="38">
        <f t="shared" si="14"/>
        <v>6180500</v>
      </c>
      <c r="H70" s="38">
        <f t="shared" si="14"/>
        <v>0</v>
      </c>
      <c r="I70" s="38">
        <f t="shared" si="14"/>
        <v>8058000</v>
      </c>
      <c r="J70" s="38">
        <f t="shared" si="14"/>
        <v>0</v>
      </c>
      <c r="K70" s="38">
        <f t="shared" si="14"/>
        <v>6809500</v>
      </c>
      <c r="L70" s="38">
        <f t="shared" si="14"/>
        <v>0</v>
      </c>
      <c r="M70" s="38">
        <f t="shared" si="14"/>
        <v>5579000</v>
      </c>
      <c r="N70" s="38">
        <f t="shared" si="14"/>
        <v>0</v>
      </c>
    </row>
    <row r="71" spans="1:14" ht="27" customHeight="1" x14ac:dyDescent="0.25"/>
    <row r="72" spans="1:14" ht="15.75" x14ac:dyDescent="0.25">
      <c r="A72" s="322" t="s">
        <v>41</v>
      </c>
      <c r="B72" s="322"/>
      <c r="C72" s="220">
        <f>C9+C10+C11+C13+C14+E68+G68+I68+K68+M68</f>
        <v>4941445.2429262586</v>
      </c>
      <c r="E72" s="325" t="s">
        <v>12</v>
      </c>
      <c r="F72" s="325"/>
      <c r="G72" s="325" t="s">
        <v>13</v>
      </c>
      <c r="H72" s="325"/>
      <c r="I72" s="325" t="s">
        <v>14</v>
      </c>
      <c r="J72" s="325"/>
      <c r="K72" s="325" t="s">
        <v>15</v>
      </c>
      <c r="L72" s="325"/>
      <c r="M72" s="325" t="s">
        <v>93</v>
      </c>
      <c r="N72" s="325"/>
    </row>
    <row r="73" spans="1:14" ht="15.75" x14ac:dyDescent="0.25">
      <c r="A73" s="323" t="s">
        <v>43</v>
      </c>
      <c r="B73" s="323"/>
      <c r="C73" s="33">
        <v>0.1</v>
      </c>
      <c r="E73" s="321" t="s">
        <v>20</v>
      </c>
      <c r="F73" s="321" t="s">
        <v>21</v>
      </c>
      <c r="G73" s="321" t="s">
        <v>20</v>
      </c>
      <c r="H73" s="321" t="s">
        <v>21</v>
      </c>
      <c r="I73" s="321" t="s">
        <v>20</v>
      </c>
      <c r="J73" s="321" t="s">
        <v>21</v>
      </c>
      <c r="K73" s="321" t="s">
        <v>20</v>
      </c>
      <c r="L73" s="321" t="s">
        <v>21</v>
      </c>
      <c r="M73" s="321" t="s">
        <v>20</v>
      </c>
      <c r="N73" s="321" t="s">
        <v>21</v>
      </c>
    </row>
    <row r="74" spans="1:14" ht="15.75" x14ac:dyDescent="0.25">
      <c r="A74" s="324" t="s">
        <v>45</v>
      </c>
      <c r="B74" s="324"/>
      <c r="C74" s="151">
        <f>C72*C73</f>
        <v>494144.52429262589</v>
      </c>
      <c r="E74" s="321"/>
      <c r="F74" s="321"/>
      <c r="G74" s="321"/>
      <c r="H74" s="321"/>
      <c r="I74" s="321"/>
      <c r="J74" s="321"/>
      <c r="K74" s="321"/>
      <c r="L74" s="321"/>
      <c r="M74" s="321"/>
      <c r="N74" s="321"/>
    </row>
    <row r="75" spans="1:14" x14ac:dyDescent="0.25">
      <c r="E75" s="212">
        <f t="shared" ref="E75:N75" si="15">(E27+E37+E50+E62+E68)*0.1</f>
        <v>119504.08730769233</v>
      </c>
      <c r="F75" s="212">
        <f t="shared" si="15"/>
        <v>0</v>
      </c>
      <c r="G75" s="212">
        <f t="shared" si="15"/>
        <v>88030.175223076934</v>
      </c>
      <c r="H75" s="212">
        <f t="shared" si="15"/>
        <v>0</v>
      </c>
      <c r="I75" s="212">
        <f t="shared" si="15"/>
        <v>91569.000043230772</v>
      </c>
      <c r="J75" s="212">
        <f t="shared" si="15"/>
        <v>0</v>
      </c>
      <c r="K75" s="212">
        <f t="shared" si="15"/>
        <v>95404.318836162318</v>
      </c>
      <c r="L75" s="212">
        <f t="shared" si="15"/>
        <v>0</v>
      </c>
      <c r="M75" s="212">
        <f t="shared" si="15"/>
        <v>99636.942882463525</v>
      </c>
      <c r="N75" s="212">
        <f t="shared" si="15"/>
        <v>0</v>
      </c>
    </row>
  </sheetData>
  <mergeCells count="69">
    <mergeCell ref="E30:F30"/>
    <mergeCell ref="G30:H30"/>
    <mergeCell ref="A29:C29"/>
    <mergeCell ref="I30:J30"/>
    <mergeCell ref="M30:N30"/>
    <mergeCell ref="M7:N7"/>
    <mergeCell ref="M23:N23"/>
    <mergeCell ref="K30:L30"/>
    <mergeCell ref="G2:K2"/>
    <mergeCell ref="E23:F23"/>
    <mergeCell ref="G23:H23"/>
    <mergeCell ref="I23:J23"/>
    <mergeCell ref="K23:L23"/>
    <mergeCell ref="E7:F7"/>
    <mergeCell ref="G7:H7"/>
    <mergeCell ref="I7:J7"/>
    <mergeCell ref="K7:L7"/>
    <mergeCell ref="B21:N21"/>
    <mergeCell ref="A64:C64"/>
    <mergeCell ref="B2:C2"/>
    <mergeCell ref="A24:C24"/>
    <mergeCell ref="A25:C25"/>
    <mergeCell ref="A26:C26"/>
    <mergeCell ref="B8:C8"/>
    <mergeCell ref="A23:C23"/>
    <mergeCell ref="A70:C70"/>
    <mergeCell ref="K65:L65"/>
    <mergeCell ref="E65:F65"/>
    <mergeCell ref="G65:H65"/>
    <mergeCell ref="I65:J65"/>
    <mergeCell ref="A65:C65"/>
    <mergeCell ref="K72:L72"/>
    <mergeCell ref="M72:N72"/>
    <mergeCell ref="K40:L40"/>
    <mergeCell ref="E40:F40"/>
    <mergeCell ref="G40:H40"/>
    <mergeCell ref="I40:J40"/>
    <mergeCell ref="M40:N40"/>
    <mergeCell ref="M53:N53"/>
    <mergeCell ref="M65:N65"/>
    <mergeCell ref="K53:L53"/>
    <mergeCell ref="G53:H53"/>
    <mergeCell ref="I53:J53"/>
    <mergeCell ref="E53:F53"/>
    <mergeCell ref="A39:C39"/>
    <mergeCell ref="A62:C62"/>
    <mergeCell ref="A37:C37"/>
    <mergeCell ref="A30:C30"/>
    <mergeCell ref="A27:C27"/>
    <mergeCell ref="A40:C40"/>
    <mergeCell ref="A50:C50"/>
    <mergeCell ref="A52:C52"/>
    <mergeCell ref="A53:C53"/>
    <mergeCell ref="K73:K74"/>
    <mergeCell ref="L73:L74"/>
    <mergeCell ref="M73:M74"/>
    <mergeCell ref="N73:N74"/>
    <mergeCell ref="A72:B72"/>
    <mergeCell ref="A73:B73"/>
    <mergeCell ref="A74:B74"/>
    <mergeCell ref="E73:E74"/>
    <mergeCell ref="F73:F74"/>
    <mergeCell ref="G73:G74"/>
    <mergeCell ref="H73:H74"/>
    <mergeCell ref="I73:I74"/>
    <mergeCell ref="J73:J74"/>
    <mergeCell ref="E72:F72"/>
    <mergeCell ref="G72:H72"/>
    <mergeCell ref="I72:J72"/>
  </mergeCells>
  <pageMargins left="0.7" right="0.7" top="0.75" bottom="0.75" header="0.3" footer="0.3"/>
  <pageSetup scale="5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21A2D-0E22-4AFC-BE09-16D4EF19C67E}">
  <dimension ref="A1:N75"/>
  <sheetViews>
    <sheetView workbookViewId="0">
      <selection activeCell="B8" sqref="B8:C19"/>
    </sheetView>
  </sheetViews>
  <sheetFormatPr defaultRowHeight="15" x14ac:dyDescent="0.25"/>
  <cols>
    <col min="1" max="1" width="17.7109375" customWidth="1"/>
    <col min="2" max="2" width="35.85546875" customWidth="1"/>
    <col min="3" max="3" width="24.140625" customWidth="1"/>
    <col min="5" max="18" width="15.28515625" customWidth="1"/>
  </cols>
  <sheetData>
    <row r="1" spans="1:14" ht="15.75" thickBot="1" x14ac:dyDescent="0.3"/>
    <row r="2" spans="1:14" ht="15.75" thickBot="1" x14ac:dyDescent="0.3">
      <c r="B2" s="341" t="s">
        <v>63</v>
      </c>
      <c r="C2" s="342"/>
      <c r="G2" s="344" t="s">
        <v>212</v>
      </c>
      <c r="H2" s="344"/>
      <c r="I2" s="344"/>
      <c r="J2" s="344"/>
      <c r="K2" s="344"/>
    </row>
    <row r="3" spans="1:14" ht="15.75" thickBot="1" x14ac:dyDescent="0.3">
      <c r="B3" s="192" t="s">
        <v>90</v>
      </c>
      <c r="C3" s="215">
        <f>C19</f>
        <v>226364.6</v>
      </c>
    </row>
    <row r="4" spans="1:14" ht="15.75" thickBot="1" x14ac:dyDescent="0.3">
      <c r="B4" s="193" t="s">
        <v>64</v>
      </c>
      <c r="C4" s="215">
        <v>0</v>
      </c>
    </row>
    <row r="5" spans="1:14" ht="15.75" thickBot="1" x14ac:dyDescent="0.3">
      <c r="B5" s="193" t="s">
        <v>63</v>
      </c>
      <c r="C5" s="215">
        <f>C3+C4</f>
        <v>226364.6</v>
      </c>
    </row>
    <row r="6" spans="1:14" ht="15.75" thickBot="1" x14ac:dyDescent="0.3">
      <c r="B6" s="193" t="s">
        <v>65</v>
      </c>
      <c r="C6" s="194">
        <f>C3/C5</f>
        <v>1</v>
      </c>
    </row>
    <row r="7" spans="1:14" ht="15.75" thickBot="1" x14ac:dyDescent="0.3">
      <c r="E7" s="346" t="s">
        <v>12</v>
      </c>
      <c r="F7" s="347"/>
      <c r="G7" s="347" t="s">
        <v>13</v>
      </c>
      <c r="H7" s="347"/>
      <c r="I7" s="347" t="s">
        <v>14</v>
      </c>
      <c r="J7" s="347"/>
      <c r="K7" s="350" t="s">
        <v>15</v>
      </c>
      <c r="L7" s="351"/>
      <c r="M7" s="347" t="s">
        <v>93</v>
      </c>
      <c r="N7" s="353"/>
    </row>
    <row r="8" spans="1:14" ht="30.75" thickBot="1" x14ac:dyDescent="0.3">
      <c r="A8" s="44"/>
      <c r="B8" s="348" t="s">
        <v>66</v>
      </c>
      <c r="C8" s="349"/>
      <c r="D8" s="44"/>
      <c r="E8" s="216" t="s">
        <v>20</v>
      </c>
      <c r="F8" s="217" t="s">
        <v>21</v>
      </c>
      <c r="G8" s="217" t="s">
        <v>20</v>
      </c>
      <c r="H8" s="217" t="s">
        <v>21</v>
      </c>
      <c r="I8" s="217" t="s">
        <v>20</v>
      </c>
      <c r="J8" s="217" t="s">
        <v>21</v>
      </c>
      <c r="K8" s="217" t="s">
        <v>20</v>
      </c>
      <c r="L8" s="217" t="s">
        <v>21</v>
      </c>
      <c r="M8" s="217" t="s">
        <v>20</v>
      </c>
      <c r="N8" s="218" t="s">
        <v>21</v>
      </c>
    </row>
    <row r="9" spans="1:14" ht="15.75" thickBot="1" x14ac:dyDescent="0.3">
      <c r="B9" s="192" t="s">
        <v>54</v>
      </c>
      <c r="C9" s="195">
        <f t="shared" ref="C9:C16" si="0">SUM(E9:N9)</f>
        <v>78844</v>
      </c>
      <c r="E9" s="196">
        <f t="shared" ref="E9:N9" si="1">E25</f>
        <v>15000</v>
      </c>
      <c r="F9" s="203">
        <f t="shared" si="1"/>
        <v>0</v>
      </c>
      <c r="G9" s="203">
        <f t="shared" si="1"/>
        <v>15375</v>
      </c>
      <c r="H9" s="203">
        <f t="shared" si="1"/>
        <v>0</v>
      </c>
      <c r="I9" s="203">
        <f t="shared" si="1"/>
        <v>15759</v>
      </c>
      <c r="J9" s="203">
        <f t="shared" si="1"/>
        <v>0</v>
      </c>
      <c r="K9" s="203">
        <f t="shared" si="1"/>
        <v>16153</v>
      </c>
      <c r="L9" s="203">
        <f t="shared" si="1"/>
        <v>0</v>
      </c>
      <c r="M9" s="203">
        <f t="shared" si="1"/>
        <v>16557</v>
      </c>
      <c r="N9" s="206">
        <f t="shared" si="1"/>
        <v>0</v>
      </c>
    </row>
    <row r="10" spans="1:14" ht="15.75" thickBot="1" x14ac:dyDescent="0.3">
      <c r="B10" s="193" t="s">
        <v>55</v>
      </c>
      <c r="C10" s="195">
        <f t="shared" si="0"/>
        <v>24442</v>
      </c>
      <c r="E10" s="196">
        <f t="shared" ref="E10:N10" si="2">E26</f>
        <v>4650</v>
      </c>
      <c r="F10" s="203">
        <f t="shared" si="2"/>
        <v>0</v>
      </c>
      <c r="G10" s="203">
        <f t="shared" si="2"/>
        <v>4766</v>
      </c>
      <c r="H10" s="203">
        <f t="shared" si="2"/>
        <v>0</v>
      </c>
      <c r="I10" s="203">
        <f t="shared" si="2"/>
        <v>4885</v>
      </c>
      <c r="J10" s="203">
        <f t="shared" si="2"/>
        <v>0</v>
      </c>
      <c r="K10" s="203">
        <f t="shared" si="2"/>
        <v>5008</v>
      </c>
      <c r="L10" s="203">
        <f t="shared" si="2"/>
        <v>0</v>
      </c>
      <c r="M10" s="203">
        <f t="shared" si="2"/>
        <v>5133</v>
      </c>
      <c r="N10" s="206">
        <f t="shared" si="2"/>
        <v>0</v>
      </c>
    </row>
    <row r="11" spans="1:14" ht="15.75" thickBot="1" x14ac:dyDescent="0.3">
      <c r="B11" s="193" t="s">
        <v>56</v>
      </c>
      <c r="C11" s="195">
        <f t="shared" si="0"/>
        <v>12500</v>
      </c>
      <c r="E11" s="197">
        <f t="shared" ref="E11:N11" si="3">E37</f>
        <v>2500</v>
      </c>
      <c r="F11" s="198">
        <f t="shared" si="3"/>
        <v>0</v>
      </c>
      <c r="G11" s="198">
        <f t="shared" si="3"/>
        <v>2500</v>
      </c>
      <c r="H11" s="198">
        <f t="shared" si="3"/>
        <v>0</v>
      </c>
      <c r="I11" s="198">
        <f t="shared" si="3"/>
        <v>2500</v>
      </c>
      <c r="J11" s="198">
        <f t="shared" si="3"/>
        <v>0</v>
      </c>
      <c r="K11" s="198">
        <f t="shared" si="3"/>
        <v>2500</v>
      </c>
      <c r="L11" s="198">
        <f t="shared" si="3"/>
        <v>0</v>
      </c>
      <c r="M11" s="198">
        <f t="shared" si="3"/>
        <v>2500</v>
      </c>
      <c r="N11" s="199">
        <f t="shared" si="3"/>
        <v>0</v>
      </c>
    </row>
    <row r="12" spans="1:14" ht="15.75" thickBot="1" x14ac:dyDescent="0.3">
      <c r="B12" s="193" t="s">
        <v>25</v>
      </c>
      <c r="C12" s="195">
        <f t="shared" si="0"/>
        <v>0</v>
      </c>
      <c r="E12" s="197">
        <v>0</v>
      </c>
      <c r="F12" s="198">
        <v>0</v>
      </c>
      <c r="G12" s="198">
        <v>0</v>
      </c>
      <c r="H12" s="198">
        <v>0</v>
      </c>
      <c r="I12" s="198">
        <v>0</v>
      </c>
      <c r="J12" s="198">
        <v>0</v>
      </c>
      <c r="K12" s="198">
        <v>0</v>
      </c>
      <c r="L12" s="198">
        <v>0</v>
      </c>
      <c r="M12" s="198">
        <v>0</v>
      </c>
      <c r="N12" s="199">
        <v>0</v>
      </c>
    </row>
    <row r="13" spans="1:14" ht="15.75" thickBot="1" x14ac:dyDescent="0.3">
      <c r="B13" s="193" t="s">
        <v>57</v>
      </c>
      <c r="C13" s="195">
        <f t="shared" si="0"/>
        <v>0</v>
      </c>
      <c r="E13" s="197">
        <f t="shared" ref="E13:N13" si="4">E50</f>
        <v>0</v>
      </c>
      <c r="F13" s="198">
        <f t="shared" si="4"/>
        <v>0</v>
      </c>
      <c r="G13" s="198">
        <f t="shared" si="4"/>
        <v>0</v>
      </c>
      <c r="H13" s="198">
        <f t="shared" si="4"/>
        <v>0</v>
      </c>
      <c r="I13" s="198">
        <f t="shared" si="4"/>
        <v>0</v>
      </c>
      <c r="J13" s="198">
        <f t="shared" si="4"/>
        <v>0</v>
      </c>
      <c r="K13" s="198">
        <f t="shared" si="4"/>
        <v>0</v>
      </c>
      <c r="L13" s="198">
        <f t="shared" si="4"/>
        <v>0</v>
      </c>
      <c r="M13" s="198">
        <f t="shared" si="4"/>
        <v>0</v>
      </c>
      <c r="N13" s="199">
        <f t="shared" si="4"/>
        <v>0</v>
      </c>
    </row>
    <row r="14" spans="1:14" ht="15.75" thickBot="1" x14ac:dyDescent="0.3">
      <c r="B14" s="193" t="s">
        <v>58</v>
      </c>
      <c r="C14" s="195">
        <f t="shared" si="0"/>
        <v>90000</v>
      </c>
      <c r="E14" s="197">
        <f t="shared" ref="E14:N14" si="5">E62</f>
        <v>50000</v>
      </c>
      <c r="F14" s="198">
        <f t="shared" si="5"/>
        <v>0</v>
      </c>
      <c r="G14" s="198">
        <f t="shared" si="5"/>
        <v>10000</v>
      </c>
      <c r="H14" s="198">
        <f t="shared" si="5"/>
        <v>0</v>
      </c>
      <c r="I14" s="198">
        <f t="shared" si="5"/>
        <v>10000</v>
      </c>
      <c r="J14" s="198">
        <f t="shared" si="5"/>
        <v>0</v>
      </c>
      <c r="K14" s="198">
        <f t="shared" si="5"/>
        <v>10000</v>
      </c>
      <c r="L14" s="198">
        <f t="shared" si="5"/>
        <v>0</v>
      </c>
      <c r="M14" s="198">
        <f t="shared" si="5"/>
        <v>10000</v>
      </c>
      <c r="N14" s="199">
        <f t="shared" si="5"/>
        <v>0</v>
      </c>
    </row>
    <row r="15" spans="1:14" ht="15.75" thickBot="1" x14ac:dyDescent="0.3">
      <c r="B15" s="193" t="s">
        <v>36</v>
      </c>
      <c r="C15" s="195">
        <f t="shared" si="0"/>
        <v>0</v>
      </c>
      <c r="E15" s="197">
        <v>0</v>
      </c>
      <c r="F15" s="198">
        <v>0</v>
      </c>
      <c r="G15" s="198">
        <v>0</v>
      </c>
      <c r="H15" s="198">
        <v>0</v>
      </c>
      <c r="I15" s="198">
        <v>0</v>
      </c>
      <c r="J15" s="198">
        <v>0</v>
      </c>
      <c r="K15" s="198">
        <v>0</v>
      </c>
      <c r="L15" s="198">
        <v>0</v>
      </c>
      <c r="M15" s="19">
        <v>0</v>
      </c>
      <c r="N15" s="184">
        <v>0</v>
      </c>
    </row>
    <row r="16" spans="1:14" ht="15.75" thickBot="1" x14ac:dyDescent="0.3">
      <c r="B16" s="193" t="s">
        <v>38</v>
      </c>
      <c r="C16" s="195">
        <f t="shared" si="0"/>
        <v>0</v>
      </c>
      <c r="E16" s="197">
        <f t="shared" ref="E16:N16" si="6">E70</f>
        <v>0</v>
      </c>
      <c r="F16" s="198">
        <f t="shared" si="6"/>
        <v>0</v>
      </c>
      <c r="G16" s="198">
        <f t="shared" si="6"/>
        <v>0</v>
      </c>
      <c r="H16" s="198">
        <f t="shared" si="6"/>
        <v>0</v>
      </c>
      <c r="I16" s="198">
        <f t="shared" si="6"/>
        <v>0</v>
      </c>
      <c r="J16" s="198">
        <f t="shared" si="6"/>
        <v>0</v>
      </c>
      <c r="K16" s="198">
        <f t="shared" si="6"/>
        <v>0</v>
      </c>
      <c r="L16" s="198">
        <f t="shared" si="6"/>
        <v>0</v>
      </c>
      <c r="M16" s="198">
        <f t="shared" si="6"/>
        <v>0</v>
      </c>
      <c r="N16" s="199">
        <f t="shared" si="6"/>
        <v>0</v>
      </c>
    </row>
    <row r="17" spans="1:14" ht="15.75" thickBot="1" x14ac:dyDescent="0.3">
      <c r="B17" s="193" t="s">
        <v>59</v>
      </c>
      <c r="C17" s="204">
        <f>SUM(C9:C16)</f>
        <v>205786</v>
      </c>
      <c r="E17" s="197">
        <f t="shared" ref="E17:N17" si="7">SUM(E9:E16)</f>
        <v>72150</v>
      </c>
      <c r="F17" s="198">
        <f t="shared" si="7"/>
        <v>0</v>
      </c>
      <c r="G17" s="198">
        <f t="shared" si="7"/>
        <v>32641</v>
      </c>
      <c r="H17" s="198">
        <f t="shared" si="7"/>
        <v>0</v>
      </c>
      <c r="I17" s="198">
        <f t="shared" si="7"/>
        <v>33144</v>
      </c>
      <c r="J17" s="198">
        <f t="shared" si="7"/>
        <v>0</v>
      </c>
      <c r="K17" s="198">
        <f t="shared" si="7"/>
        <v>33661</v>
      </c>
      <c r="L17" s="198">
        <f t="shared" si="7"/>
        <v>0</v>
      </c>
      <c r="M17" s="198">
        <f t="shared" si="7"/>
        <v>34190</v>
      </c>
      <c r="N17" s="199">
        <f t="shared" si="7"/>
        <v>0</v>
      </c>
    </row>
    <row r="18" spans="1:14" ht="15.75" thickBot="1" x14ac:dyDescent="0.3">
      <c r="B18" s="193" t="s">
        <v>60</v>
      </c>
      <c r="C18" s="205">
        <f>SUM(E18:N18)</f>
        <v>20578.599999999999</v>
      </c>
      <c r="E18" s="207">
        <f t="shared" ref="E18:N18" si="8">E75</f>
        <v>7215</v>
      </c>
      <c r="F18" s="207">
        <f t="shared" si="8"/>
        <v>0</v>
      </c>
      <c r="G18" s="207">
        <f t="shared" si="8"/>
        <v>3264.1000000000004</v>
      </c>
      <c r="H18" s="207">
        <f t="shared" si="8"/>
        <v>0</v>
      </c>
      <c r="I18" s="207">
        <f t="shared" si="8"/>
        <v>3314.4</v>
      </c>
      <c r="J18" s="207">
        <f t="shared" si="8"/>
        <v>0</v>
      </c>
      <c r="K18" s="207">
        <f t="shared" si="8"/>
        <v>3366.1000000000004</v>
      </c>
      <c r="L18" s="207">
        <f t="shared" si="8"/>
        <v>0</v>
      </c>
      <c r="M18" s="207">
        <f t="shared" si="8"/>
        <v>3419</v>
      </c>
      <c r="N18" s="205">
        <f t="shared" si="8"/>
        <v>0</v>
      </c>
    </row>
    <row r="19" spans="1:14" ht="15.75" thickBot="1" x14ac:dyDescent="0.3">
      <c r="B19" s="200" t="s">
        <v>63</v>
      </c>
      <c r="C19" s="201">
        <f>SUM(C17:C18)</f>
        <v>226364.6</v>
      </c>
      <c r="E19" s="202">
        <f t="shared" ref="E19:N19" si="9">SUM(E17:E18)</f>
        <v>79365</v>
      </c>
      <c r="F19" s="202">
        <f t="shared" si="9"/>
        <v>0</v>
      </c>
      <c r="G19" s="202">
        <f t="shared" si="9"/>
        <v>35905.1</v>
      </c>
      <c r="H19" s="202">
        <f t="shared" si="9"/>
        <v>0</v>
      </c>
      <c r="I19" s="202">
        <f t="shared" si="9"/>
        <v>36458.400000000001</v>
      </c>
      <c r="J19" s="202">
        <f t="shared" si="9"/>
        <v>0</v>
      </c>
      <c r="K19" s="202">
        <f t="shared" si="9"/>
        <v>37027.1</v>
      </c>
      <c r="L19" s="202">
        <f t="shared" si="9"/>
        <v>0</v>
      </c>
      <c r="M19" s="202">
        <f t="shared" si="9"/>
        <v>37609</v>
      </c>
      <c r="N19" s="219">
        <f t="shared" si="9"/>
        <v>0</v>
      </c>
    </row>
    <row r="21" spans="1:14" x14ac:dyDescent="0.25">
      <c r="B21" s="352" t="s">
        <v>203</v>
      </c>
      <c r="C21" s="352"/>
      <c r="D21" s="352"/>
      <c r="E21" s="352"/>
      <c r="F21" s="352"/>
      <c r="G21" s="352"/>
      <c r="H21" s="352"/>
      <c r="I21" s="352"/>
      <c r="J21" s="352"/>
      <c r="K21" s="352"/>
      <c r="L21" s="352"/>
      <c r="M21" s="352"/>
      <c r="N21" s="352"/>
    </row>
    <row r="23" spans="1:14" x14ac:dyDescent="0.25">
      <c r="A23" s="345" t="s">
        <v>183</v>
      </c>
      <c r="B23" s="345"/>
      <c r="C23" s="345"/>
      <c r="E23" s="345" t="s">
        <v>12</v>
      </c>
      <c r="F23" s="345"/>
      <c r="G23" s="345" t="s">
        <v>13</v>
      </c>
      <c r="H23" s="345"/>
      <c r="I23" s="345" t="s">
        <v>14</v>
      </c>
      <c r="J23" s="345"/>
      <c r="K23" s="345" t="s">
        <v>15</v>
      </c>
      <c r="L23" s="345"/>
      <c r="M23" s="345" t="s">
        <v>93</v>
      </c>
      <c r="N23" s="345"/>
    </row>
    <row r="24" spans="1:14" ht="30" x14ac:dyDescent="0.25">
      <c r="A24" s="321" t="s">
        <v>206</v>
      </c>
      <c r="B24" s="321"/>
      <c r="C24" s="321"/>
      <c r="D24" s="43"/>
      <c r="E24" s="190" t="s">
        <v>20</v>
      </c>
      <c r="F24" s="190" t="s">
        <v>21</v>
      </c>
      <c r="G24" s="190" t="s">
        <v>20</v>
      </c>
      <c r="H24" s="190" t="s">
        <v>21</v>
      </c>
      <c r="I24" s="190" t="s">
        <v>20</v>
      </c>
      <c r="J24" s="190" t="s">
        <v>21</v>
      </c>
      <c r="K24" s="190" t="s">
        <v>20</v>
      </c>
      <c r="L24" s="190" t="s">
        <v>21</v>
      </c>
      <c r="M24" s="47" t="s">
        <v>20</v>
      </c>
      <c r="N24" s="190" t="s">
        <v>21</v>
      </c>
    </row>
    <row r="25" spans="1:14" x14ac:dyDescent="0.25">
      <c r="A25" s="343" t="s">
        <v>116</v>
      </c>
      <c r="B25" s="343"/>
      <c r="C25" s="343"/>
      <c r="E25" s="45">
        <v>15000</v>
      </c>
      <c r="F25" s="32"/>
      <c r="G25" s="45">
        <v>15375</v>
      </c>
      <c r="H25" s="32"/>
      <c r="I25" s="45">
        <v>15759</v>
      </c>
      <c r="J25" s="32"/>
      <c r="K25" s="32">
        <v>16153</v>
      </c>
      <c r="L25" s="32"/>
      <c r="M25" s="45">
        <v>16557</v>
      </c>
      <c r="N25" s="32"/>
    </row>
    <row r="26" spans="1:14" ht="15.75" thickBot="1" x14ac:dyDescent="0.3">
      <c r="A26" s="343" t="s">
        <v>117</v>
      </c>
      <c r="B26" s="343"/>
      <c r="C26" s="343"/>
      <c r="E26" s="186">
        <v>4650</v>
      </c>
      <c r="F26" s="187"/>
      <c r="G26" s="186">
        <v>4766</v>
      </c>
      <c r="H26" s="187"/>
      <c r="I26" s="186">
        <v>4885</v>
      </c>
      <c r="J26" s="187"/>
      <c r="K26" s="187">
        <v>5008</v>
      </c>
      <c r="L26" s="187"/>
      <c r="M26" s="186">
        <v>5133</v>
      </c>
      <c r="N26" s="187"/>
    </row>
    <row r="27" spans="1:14" ht="15.75" thickTop="1" x14ac:dyDescent="0.25">
      <c r="A27" s="333" t="s">
        <v>205</v>
      </c>
      <c r="B27" s="333"/>
      <c r="C27" s="333"/>
      <c r="E27" s="227">
        <f t="shared" ref="E27:N27" si="10">SUM(E25:E26)</f>
        <v>19650</v>
      </c>
      <c r="F27" s="227">
        <f t="shared" si="10"/>
        <v>0</v>
      </c>
      <c r="G27" s="227">
        <f t="shared" si="10"/>
        <v>20141</v>
      </c>
      <c r="H27" s="227">
        <f t="shared" si="10"/>
        <v>0</v>
      </c>
      <c r="I27" s="227">
        <f t="shared" si="10"/>
        <v>20644</v>
      </c>
      <c r="J27" s="227">
        <f t="shared" si="10"/>
        <v>0</v>
      </c>
      <c r="K27" s="227">
        <f t="shared" si="10"/>
        <v>21161</v>
      </c>
      <c r="L27" s="227">
        <f t="shared" si="10"/>
        <v>0</v>
      </c>
      <c r="M27" s="227">
        <f t="shared" si="10"/>
        <v>21690</v>
      </c>
      <c r="N27" s="227">
        <f t="shared" si="10"/>
        <v>0</v>
      </c>
    </row>
    <row r="29" spans="1:14" x14ac:dyDescent="0.25">
      <c r="A29" s="326" t="s">
        <v>196</v>
      </c>
      <c r="B29" s="326"/>
      <c r="C29" s="326"/>
    </row>
    <row r="30" spans="1:14" x14ac:dyDescent="0.25">
      <c r="A30" s="330" t="s">
        <v>197</v>
      </c>
      <c r="B30" s="331"/>
      <c r="C30" s="332"/>
      <c r="D30" s="188"/>
      <c r="E30" s="253" t="s">
        <v>12</v>
      </c>
      <c r="F30" s="253"/>
      <c r="G30" s="253" t="s">
        <v>13</v>
      </c>
      <c r="H30" s="253"/>
      <c r="I30" s="253" t="s">
        <v>14</v>
      </c>
      <c r="J30" s="253"/>
      <c r="K30" s="253" t="s">
        <v>15</v>
      </c>
      <c r="L30" s="253"/>
      <c r="M30" s="253" t="s">
        <v>93</v>
      </c>
      <c r="N30" s="253"/>
    </row>
    <row r="31" spans="1:14" ht="30" x14ac:dyDescent="0.25">
      <c r="A31" s="189" t="s">
        <v>16</v>
      </c>
      <c r="B31" s="189" t="s">
        <v>17</v>
      </c>
      <c r="C31" s="189" t="s">
        <v>18</v>
      </c>
      <c r="D31" s="44"/>
      <c r="E31" s="190" t="s">
        <v>20</v>
      </c>
      <c r="F31" s="190" t="s">
        <v>21</v>
      </c>
      <c r="G31" s="190" t="s">
        <v>20</v>
      </c>
      <c r="H31" s="190" t="s">
        <v>21</v>
      </c>
      <c r="I31" s="190" t="s">
        <v>20</v>
      </c>
      <c r="J31" s="190" t="s">
        <v>21</v>
      </c>
      <c r="K31" s="190" t="s">
        <v>20</v>
      </c>
      <c r="L31" s="190" t="s">
        <v>21</v>
      </c>
      <c r="M31" s="190" t="s">
        <v>20</v>
      </c>
      <c r="N31" s="190" t="s">
        <v>21</v>
      </c>
    </row>
    <row r="32" spans="1:14" ht="41.25" customHeight="1" x14ac:dyDescent="0.25">
      <c r="A32" s="50" t="s">
        <v>219</v>
      </c>
      <c r="B32" s="50">
        <v>2</v>
      </c>
      <c r="C32" s="50" t="s">
        <v>220</v>
      </c>
      <c r="D32" s="43"/>
      <c r="E32" s="45">
        <v>2500</v>
      </c>
      <c r="F32" s="42"/>
      <c r="G32" s="45">
        <v>2500</v>
      </c>
      <c r="H32" s="42"/>
      <c r="I32" s="42">
        <v>2500</v>
      </c>
      <c r="J32" s="42"/>
      <c r="K32" s="222">
        <v>2500</v>
      </c>
      <c r="L32" s="50"/>
      <c r="M32" s="222">
        <v>2500</v>
      </c>
      <c r="N32" s="50"/>
    </row>
    <row r="33" spans="1:14" ht="41.25" customHeight="1" x14ac:dyDescent="0.25">
      <c r="A33" s="50"/>
      <c r="B33" s="70"/>
      <c r="C33" s="50"/>
      <c r="D33" s="43"/>
      <c r="E33" s="45"/>
      <c r="F33" s="42"/>
      <c r="G33" s="45"/>
      <c r="H33" s="42"/>
      <c r="I33" s="42"/>
      <c r="J33" s="42"/>
      <c r="K33" s="222"/>
      <c r="L33" s="50"/>
      <c r="M33" s="222"/>
      <c r="N33" s="50"/>
    </row>
    <row r="34" spans="1:14" ht="41.25" customHeight="1" x14ac:dyDescent="0.25">
      <c r="A34" s="50"/>
      <c r="B34" s="70"/>
      <c r="C34" s="50"/>
      <c r="D34" s="43"/>
      <c r="E34" s="45"/>
      <c r="F34" s="42"/>
      <c r="G34" s="45"/>
      <c r="H34" s="42"/>
      <c r="I34" s="42"/>
      <c r="J34" s="42"/>
      <c r="K34" s="222"/>
      <c r="L34" s="50"/>
      <c r="M34" s="222"/>
      <c r="N34" s="50"/>
    </row>
    <row r="35" spans="1:14" ht="41.25" customHeight="1" x14ac:dyDescent="0.25">
      <c r="A35" s="50"/>
      <c r="B35" s="70"/>
      <c r="C35" s="50"/>
      <c r="D35" s="43"/>
      <c r="E35" s="45"/>
      <c r="F35" s="42"/>
      <c r="G35" s="45"/>
      <c r="H35" s="42"/>
      <c r="I35" s="42"/>
      <c r="J35" s="42"/>
      <c r="K35" s="222"/>
      <c r="L35" s="50"/>
      <c r="M35" s="222"/>
      <c r="N35" s="50"/>
    </row>
    <row r="36" spans="1:14" ht="41.25" customHeight="1" x14ac:dyDescent="0.25">
      <c r="A36" s="50"/>
      <c r="B36" s="70"/>
      <c r="C36" s="50"/>
      <c r="D36" s="43"/>
      <c r="E36" s="45"/>
      <c r="F36" s="42"/>
      <c r="G36" s="42"/>
      <c r="H36" s="42"/>
      <c r="I36" s="42"/>
      <c r="J36" s="42"/>
      <c r="K36" s="185"/>
      <c r="L36" s="50"/>
      <c r="M36" s="185"/>
      <c r="N36" s="50"/>
    </row>
    <row r="37" spans="1:14" x14ac:dyDescent="0.25">
      <c r="A37" s="327" t="s">
        <v>23</v>
      </c>
      <c r="B37" s="328"/>
      <c r="C37" s="329"/>
      <c r="E37" s="224">
        <f t="shared" ref="E37:N37" si="11">SUM(E32:E36)</f>
        <v>2500</v>
      </c>
      <c r="F37" s="224">
        <f t="shared" si="11"/>
        <v>0</v>
      </c>
      <c r="G37" s="224">
        <f t="shared" si="11"/>
        <v>2500</v>
      </c>
      <c r="H37" s="224">
        <f t="shared" si="11"/>
        <v>0</v>
      </c>
      <c r="I37" s="224">
        <f t="shared" si="11"/>
        <v>2500</v>
      </c>
      <c r="J37" s="224">
        <f t="shared" si="11"/>
        <v>0</v>
      </c>
      <c r="K37" s="224">
        <f t="shared" si="11"/>
        <v>2500</v>
      </c>
      <c r="L37" s="224">
        <f t="shared" si="11"/>
        <v>0</v>
      </c>
      <c r="M37" s="224">
        <f t="shared" si="11"/>
        <v>2500</v>
      </c>
      <c r="N37" s="224">
        <f t="shared" si="11"/>
        <v>0</v>
      </c>
    </row>
    <row r="39" spans="1:14" x14ac:dyDescent="0.25">
      <c r="A39" s="326" t="s">
        <v>198</v>
      </c>
      <c r="B39" s="326"/>
      <c r="C39" s="326"/>
    </row>
    <row r="40" spans="1:14" x14ac:dyDescent="0.25">
      <c r="A40" s="336" t="s">
        <v>185</v>
      </c>
      <c r="B40" s="337"/>
      <c r="C40" s="338"/>
      <c r="E40" s="253" t="s">
        <v>12</v>
      </c>
      <c r="F40" s="253"/>
      <c r="G40" s="253" t="s">
        <v>13</v>
      </c>
      <c r="H40" s="253"/>
      <c r="I40" s="253" t="s">
        <v>14</v>
      </c>
      <c r="J40" s="253"/>
      <c r="K40" s="253" t="s">
        <v>15</v>
      </c>
      <c r="L40" s="253"/>
      <c r="M40" s="253" t="s">
        <v>93</v>
      </c>
      <c r="N40" s="253"/>
    </row>
    <row r="41" spans="1:14" ht="30" x14ac:dyDescent="0.25">
      <c r="A41" s="28" t="s">
        <v>28</v>
      </c>
      <c r="B41" s="28" t="s">
        <v>26</v>
      </c>
      <c r="C41" s="28" t="s">
        <v>18</v>
      </c>
      <c r="D41" s="44"/>
      <c r="E41" s="190" t="s">
        <v>20</v>
      </c>
      <c r="F41" s="190" t="s">
        <v>21</v>
      </c>
      <c r="G41" s="190" t="s">
        <v>20</v>
      </c>
      <c r="H41" s="190" t="s">
        <v>21</v>
      </c>
      <c r="I41" s="190" t="s">
        <v>20</v>
      </c>
      <c r="J41" s="190" t="s">
        <v>21</v>
      </c>
      <c r="K41" s="190" t="s">
        <v>20</v>
      </c>
      <c r="L41" s="190" t="s">
        <v>21</v>
      </c>
      <c r="M41" s="190" t="s">
        <v>20</v>
      </c>
      <c r="N41" s="190" t="s">
        <v>21</v>
      </c>
    </row>
    <row r="42" spans="1:14" x14ac:dyDescent="0.25">
      <c r="A42" s="50"/>
      <c r="B42" s="50"/>
      <c r="C42" s="50"/>
      <c r="E42" s="191"/>
      <c r="F42" s="84"/>
      <c r="G42" s="84"/>
      <c r="H42" s="84"/>
      <c r="I42" s="84"/>
      <c r="J42" s="84"/>
      <c r="K42" s="85"/>
      <c r="L42" s="85"/>
      <c r="M42" s="85"/>
      <c r="N42" s="85"/>
    </row>
    <row r="43" spans="1:14" x14ac:dyDescent="0.25">
      <c r="A43" s="50"/>
      <c r="B43" s="50"/>
      <c r="C43" s="50"/>
      <c r="E43" s="191"/>
      <c r="F43" s="84"/>
      <c r="G43" s="84"/>
      <c r="H43" s="84"/>
      <c r="I43" s="84"/>
      <c r="J43" s="84"/>
      <c r="K43" s="85"/>
      <c r="L43" s="85"/>
      <c r="M43" s="85"/>
      <c r="N43" s="85"/>
    </row>
    <row r="44" spans="1:14" x14ac:dyDescent="0.25">
      <c r="A44" s="50"/>
      <c r="B44" s="50"/>
      <c r="C44" s="50"/>
      <c r="E44" s="84"/>
      <c r="F44" s="84"/>
      <c r="G44" s="84"/>
      <c r="H44" s="84"/>
      <c r="I44" s="84"/>
      <c r="J44" s="84"/>
      <c r="K44" s="85"/>
      <c r="L44" s="85"/>
      <c r="M44" s="85"/>
      <c r="N44" s="85"/>
    </row>
    <row r="45" spans="1:14" x14ac:dyDescent="0.25">
      <c r="A45" s="50"/>
      <c r="B45" s="50"/>
      <c r="C45" s="50"/>
      <c r="E45" s="84"/>
      <c r="F45" s="84"/>
      <c r="G45" s="84"/>
      <c r="H45" s="84"/>
      <c r="I45" s="84"/>
      <c r="J45" s="84"/>
      <c r="K45" s="84"/>
      <c r="L45" s="85"/>
      <c r="M45" s="84"/>
      <c r="N45" s="85"/>
    </row>
    <row r="46" spans="1:14" x14ac:dyDescent="0.25">
      <c r="A46" s="50"/>
      <c r="B46" s="50"/>
      <c r="C46" s="50"/>
      <c r="E46" s="84"/>
      <c r="F46" s="84"/>
      <c r="G46" s="84"/>
      <c r="H46" s="84"/>
      <c r="I46" s="84"/>
      <c r="J46" s="84"/>
      <c r="K46" s="84"/>
      <c r="L46" s="85"/>
      <c r="M46" s="84"/>
      <c r="N46" s="85"/>
    </row>
    <row r="47" spans="1:14" x14ac:dyDescent="0.25">
      <c r="A47" s="50"/>
      <c r="B47" s="50"/>
      <c r="C47" s="50"/>
      <c r="E47" s="84"/>
      <c r="F47" s="84"/>
      <c r="G47" s="84"/>
      <c r="H47" s="84"/>
      <c r="I47" s="84"/>
      <c r="J47" s="84"/>
      <c r="K47" s="84"/>
      <c r="L47" s="85"/>
      <c r="M47" s="84"/>
      <c r="N47" s="85"/>
    </row>
    <row r="48" spans="1:14" x14ac:dyDescent="0.25">
      <c r="A48" s="50"/>
      <c r="B48" s="50"/>
      <c r="C48" s="50"/>
      <c r="E48" s="84"/>
      <c r="F48" s="84"/>
      <c r="G48" s="84"/>
      <c r="H48" s="84"/>
      <c r="I48" s="84"/>
      <c r="J48" s="84"/>
      <c r="K48" s="85"/>
      <c r="L48" s="85"/>
      <c r="M48" s="85"/>
      <c r="N48" s="85"/>
    </row>
    <row r="49" spans="1:14" x14ac:dyDescent="0.25">
      <c r="A49" s="50"/>
      <c r="B49" s="50"/>
      <c r="C49" s="50"/>
      <c r="E49" s="84"/>
      <c r="F49" s="84"/>
      <c r="G49" s="84"/>
      <c r="H49" s="84"/>
      <c r="I49" s="84"/>
      <c r="J49" s="84"/>
      <c r="K49" s="85"/>
      <c r="L49" s="85"/>
      <c r="M49" s="85"/>
      <c r="N49" s="85"/>
    </row>
    <row r="50" spans="1:14" x14ac:dyDescent="0.25">
      <c r="A50" s="327" t="s">
        <v>193</v>
      </c>
      <c r="B50" s="328"/>
      <c r="C50" s="329"/>
      <c r="E50" s="226">
        <f t="shared" ref="E50:N50" si="12">SUM(E42:E49)</f>
        <v>0</v>
      </c>
      <c r="F50" s="226">
        <f t="shared" si="12"/>
        <v>0</v>
      </c>
      <c r="G50" s="226">
        <f t="shared" si="12"/>
        <v>0</v>
      </c>
      <c r="H50" s="226">
        <f t="shared" si="12"/>
        <v>0</v>
      </c>
      <c r="I50" s="226">
        <f t="shared" si="12"/>
        <v>0</v>
      </c>
      <c r="J50" s="226">
        <f t="shared" si="12"/>
        <v>0</v>
      </c>
      <c r="K50" s="226">
        <f t="shared" si="12"/>
        <v>0</v>
      </c>
      <c r="L50" s="226">
        <f t="shared" si="12"/>
        <v>0</v>
      </c>
      <c r="M50" s="226">
        <f t="shared" si="12"/>
        <v>0</v>
      </c>
      <c r="N50" s="226">
        <f t="shared" si="12"/>
        <v>0</v>
      </c>
    </row>
    <row r="52" spans="1:14" x14ac:dyDescent="0.25">
      <c r="A52" s="339" t="s">
        <v>194</v>
      </c>
      <c r="B52" s="339"/>
      <c r="C52" s="339"/>
    </row>
    <row r="53" spans="1:14" x14ac:dyDescent="0.25">
      <c r="A53" s="334" t="s">
        <v>195</v>
      </c>
      <c r="B53" s="334"/>
      <c r="C53" s="334"/>
      <c r="E53" s="334" t="s">
        <v>12</v>
      </c>
      <c r="F53" s="334"/>
      <c r="G53" s="334" t="s">
        <v>13</v>
      </c>
      <c r="H53" s="334"/>
      <c r="I53" s="334" t="s">
        <v>14</v>
      </c>
      <c r="J53" s="334"/>
      <c r="K53" s="334" t="s">
        <v>15</v>
      </c>
      <c r="L53" s="334"/>
      <c r="M53" s="334" t="s">
        <v>93</v>
      </c>
      <c r="N53" s="334"/>
    </row>
    <row r="54" spans="1:14" ht="30" x14ac:dyDescent="0.25">
      <c r="A54" s="28" t="s">
        <v>32</v>
      </c>
      <c r="B54" s="28" t="s">
        <v>67</v>
      </c>
      <c r="C54" s="28" t="s">
        <v>33</v>
      </c>
      <c r="D54" s="44"/>
      <c r="E54" s="190" t="s">
        <v>20</v>
      </c>
      <c r="F54" s="190" t="s">
        <v>21</v>
      </c>
      <c r="G54" s="190" t="s">
        <v>20</v>
      </c>
      <c r="H54" s="190" t="s">
        <v>21</v>
      </c>
      <c r="I54" s="190" t="s">
        <v>20</v>
      </c>
      <c r="J54" s="190" t="s">
        <v>21</v>
      </c>
      <c r="K54" s="190" t="s">
        <v>20</v>
      </c>
      <c r="L54" s="190" t="s">
        <v>21</v>
      </c>
      <c r="M54" s="190" t="s">
        <v>20</v>
      </c>
      <c r="N54" s="190" t="s">
        <v>21</v>
      </c>
    </row>
    <row r="55" spans="1:14" x14ac:dyDescent="0.25">
      <c r="A55" s="50" t="s">
        <v>53</v>
      </c>
      <c r="B55" s="50" t="s">
        <v>221</v>
      </c>
      <c r="C55" s="50" t="s">
        <v>222</v>
      </c>
      <c r="D55" s="43"/>
      <c r="E55" s="47">
        <v>50000</v>
      </c>
      <c r="F55" s="47"/>
      <c r="G55" s="47">
        <v>10000</v>
      </c>
      <c r="H55" s="208"/>
      <c r="I55" s="47">
        <v>10000</v>
      </c>
      <c r="J55" s="208"/>
      <c r="K55" s="47">
        <v>10000</v>
      </c>
      <c r="L55" s="47"/>
      <c r="M55" s="47">
        <v>10000</v>
      </c>
      <c r="N55" s="47"/>
    </row>
    <row r="56" spans="1:14" x14ac:dyDescent="0.25">
      <c r="A56" s="50"/>
      <c r="B56" s="50"/>
      <c r="C56" s="50"/>
      <c r="D56" s="43"/>
      <c r="E56" s="46"/>
      <c r="F56" s="209"/>
      <c r="G56" s="46"/>
      <c r="H56" s="208"/>
      <c r="I56" s="46"/>
      <c r="J56" s="208"/>
      <c r="K56" s="46"/>
      <c r="L56" s="47"/>
      <c r="M56" s="46"/>
      <c r="N56" s="47"/>
    </row>
    <row r="57" spans="1:14" x14ac:dyDescent="0.25">
      <c r="A57" s="50"/>
      <c r="B57" s="50"/>
      <c r="C57" s="50"/>
      <c r="D57" s="43"/>
      <c r="E57" s="45"/>
      <c r="F57" s="208"/>
      <c r="G57" s="45"/>
      <c r="H57" s="208"/>
      <c r="I57" s="45"/>
      <c r="J57" s="208"/>
      <c r="K57" s="45"/>
      <c r="L57" s="47"/>
      <c r="M57" s="45"/>
      <c r="N57" s="47"/>
    </row>
    <row r="58" spans="1:14" x14ac:dyDescent="0.25">
      <c r="A58" s="50"/>
      <c r="B58" s="50"/>
      <c r="C58" s="50"/>
      <c r="D58" s="43"/>
      <c r="E58" s="45"/>
      <c r="F58" s="208"/>
      <c r="G58" s="45"/>
      <c r="H58" s="208"/>
      <c r="I58" s="45"/>
      <c r="J58" s="208"/>
      <c r="K58" s="45"/>
      <c r="L58" s="47"/>
      <c r="M58" s="45"/>
      <c r="N58" s="47"/>
    </row>
    <row r="59" spans="1:14" x14ac:dyDescent="0.25">
      <c r="A59" s="50"/>
      <c r="B59" s="50"/>
      <c r="C59" s="50"/>
      <c r="D59" s="43"/>
      <c r="E59" s="45"/>
      <c r="F59" s="208"/>
      <c r="G59" s="45"/>
      <c r="H59" s="208"/>
      <c r="I59" s="45"/>
      <c r="J59" s="208"/>
      <c r="K59" s="45"/>
      <c r="L59" s="47"/>
      <c r="M59" s="45"/>
      <c r="N59" s="47"/>
    </row>
    <row r="60" spans="1:14" x14ac:dyDescent="0.25">
      <c r="A60" s="50"/>
      <c r="B60" s="50"/>
      <c r="C60" s="50"/>
      <c r="D60" s="43"/>
      <c r="E60" s="45"/>
      <c r="F60" s="208"/>
      <c r="G60" s="45"/>
      <c r="H60" s="208"/>
      <c r="I60" s="45"/>
      <c r="J60" s="208"/>
      <c r="K60" s="45"/>
      <c r="L60" s="47"/>
      <c r="M60" s="45"/>
      <c r="N60" s="47"/>
    </row>
    <row r="61" spans="1:14" x14ac:dyDescent="0.25">
      <c r="A61" s="50"/>
      <c r="B61" s="50"/>
      <c r="C61" s="50"/>
      <c r="D61" s="43"/>
      <c r="E61" s="45"/>
      <c r="F61" s="208"/>
      <c r="G61" s="208"/>
      <c r="H61" s="208"/>
      <c r="I61" s="208"/>
      <c r="J61" s="208"/>
      <c r="K61" s="47"/>
      <c r="L61" s="47"/>
      <c r="M61" s="47"/>
      <c r="N61" s="47"/>
    </row>
    <row r="62" spans="1:14" x14ac:dyDescent="0.25">
      <c r="A62" s="327" t="s">
        <v>35</v>
      </c>
      <c r="B62" s="328"/>
      <c r="C62" s="329"/>
      <c r="E62" s="225">
        <f t="shared" ref="E62:N62" si="13">SUM(E55:E61)</f>
        <v>50000</v>
      </c>
      <c r="F62" s="225">
        <f t="shared" si="13"/>
        <v>0</v>
      </c>
      <c r="G62" s="225">
        <f t="shared" si="13"/>
        <v>10000</v>
      </c>
      <c r="H62" s="225">
        <f t="shared" si="13"/>
        <v>0</v>
      </c>
      <c r="I62" s="225">
        <f t="shared" si="13"/>
        <v>10000</v>
      </c>
      <c r="J62" s="225">
        <f t="shared" si="13"/>
        <v>0</v>
      </c>
      <c r="K62" s="225">
        <f t="shared" si="13"/>
        <v>10000</v>
      </c>
      <c r="L62" s="225">
        <f t="shared" si="13"/>
        <v>0</v>
      </c>
      <c r="M62" s="225">
        <f t="shared" si="13"/>
        <v>10000</v>
      </c>
      <c r="N62" s="225">
        <f t="shared" si="13"/>
        <v>0</v>
      </c>
    </row>
    <row r="64" spans="1:14" x14ac:dyDescent="0.25">
      <c r="A64" s="340" t="s">
        <v>208</v>
      </c>
      <c r="B64" s="340"/>
      <c r="C64" s="340"/>
    </row>
    <row r="65" spans="1:14" x14ac:dyDescent="0.25">
      <c r="A65" s="334" t="s">
        <v>38</v>
      </c>
      <c r="B65" s="334"/>
      <c r="C65" s="334"/>
      <c r="E65" s="335" t="s">
        <v>12</v>
      </c>
      <c r="F65" s="335"/>
      <c r="G65" s="335" t="s">
        <v>13</v>
      </c>
      <c r="H65" s="335"/>
      <c r="I65" s="335" t="s">
        <v>14</v>
      </c>
      <c r="J65" s="335"/>
      <c r="K65" s="334" t="s">
        <v>15</v>
      </c>
      <c r="L65" s="334"/>
      <c r="M65" s="334" t="s">
        <v>93</v>
      </c>
      <c r="N65" s="334"/>
    </row>
    <row r="66" spans="1:14" ht="30" x14ac:dyDescent="0.25">
      <c r="A66" s="211" t="s">
        <v>37</v>
      </c>
      <c r="B66" s="211" t="s">
        <v>18</v>
      </c>
      <c r="C66" s="211" t="s">
        <v>9</v>
      </c>
      <c r="D66" s="44"/>
      <c r="E66" s="210" t="s">
        <v>20</v>
      </c>
      <c r="F66" s="210" t="s">
        <v>21</v>
      </c>
      <c r="G66" s="210" t="s">
        <v>20</v>
      </c>
      <c r="H66" s="210" t="s">
        <v>21</v>
      </c>
      <c r="I66" s="210" t="s">
        <v>20</v>
      </c>
      <c r="J66" s="210" t="s">
        <v>21</v>
      </c>
      <c r="K66" s="190" t="s">
        <v>20</v>
      </c>
      <c r="L66" s="190" t="s">
        <v>21</v>
      </c>
      <c r="M66" s="190" t="s">
        <v>20</v>
      </c>
      <c r="N66" s="190" t="s">
        <v>21</v>
      </c>
    </row>
    <row r="67" spans="1:14" x14ac:dyDescent="0.25">
      <c r="A67" s="50"/>
      <c r="B67" s="50"/>
      <c r="C67" s="50"/>
      <c r="E67" s="63"/>
      <c r="F67" s="63"/>
      <c r="G67" s="63"/>
      <c r="H67" s="63"/>
      <c r="I67" s="63"/>
      <c r="J67" s="63"/>
      <c r="K67" s="63"/>
      <c r="L67" s="52"/>
      <c r="M67" s="63"/>
      <c r="N67" s="52"/>
    </row>
    <row r="68" spans="1:14" x14ac:dyDescent="0.25">
      <c r="A68" s="50"/>
      <c r="B68" s="50"/>
      <c r="C68" s="50"/>
      <c r="E68" s="45"/>
      <c r="F68" s="45"/>
      <c r="G68" s="45"/>
      <c r="H68" s="45"/>
      <c r="I68" s="45"/>
      <c r="J68" s="45"/>
      <c r="K68" s="45"/>
      <c r="L68" s="45"/>
      <c r="M68" s="45"/>
      <c r="N68" s="45"/>
    </row>
    <row r="69" spans="1:14" x14ac:dyDescent="0.25">
      <c r="A69" s="52"/>
      <c r="B69" s="52"/>
      <c r="C69" s="52"/>
      <c r="E69" s="45"/>
      <c r="F69" s="32"/>
      <c r="G69" s="32"/>
      <c r="H69" s="32"/>
      <c r="I69" s="32"/>
      <c r="J69" s="32"/>
      <c r="K69" s="52"/>
      <c r="L69" s="52"/>
      <c r="M69" s="52"/>
      <c r="N69" s="52"/>
    </row>
    <row r="70" spans="1:14" x14ac:dyDescent="0.25">
      <c r="A70" s="327" t="s">
        <v>39</v>
      </c>
      <c r="B70" s="328"/>
      <c r="C70" s="329"/>
      <c r="E70" s="224">
        <f t="shared" ref="E70:N70" si="14">SUM(E67:E69)</f>
        <v>0</v>
      </c>
      <c r="F70" s="224">
        <f t="shared" si="14"/>
        <v>0</v>
      </c>
      <c r="G70" s="224">
        <f t="shared" si="14"/>
        <v>0</v>
      </c>
      <c r="H70" s="224">
        <f t="shared" si="14"/>
        <v>0</v>
      </c>
      <c r="I70" s="224">
        <f t="shared" si="14"/>
        <v>0</v>
      </c>
      <c r="J70" s="224">
        <f t="shared" si="14"/>
        <v>0</v>
      </c>
      <c r="K70" s="224">
        <f t="shared" si="14"/>
        <v>0</v>
      </c>
      <c r="L70" s="224">
        <f t="shared" si="14"/>
        <v>0</v>
      </c>
      <c r="M70" s="224">
        <f t="shared" si="14"/>
        <v>0</v>
      </c>
      <c r="N70" s="224">
        <f t="shared" si="14"/>
        <v>0</v>
      </c>
    </row>
    <row r="72" spans="1:14" ht="15.75" x14ac:dyDescent="0.25">
      <c r="A72" s="322" t="s">
        <v>41</v>
      </c>
      <c r="B72" s="322"/>
      <c r="C72" s="220">
        <f>C9+C10+C11+C13+C14</f>
        <v>205786</v>
      </c>
      <c r="E72" s="325" t="s">
        <v>12</v>
      </c>
      <c r="F72" s="325"/>
      <c r="G72" s="325" t="s">
        <v>13</v>
      </c>
      <c r="H72" s="325"/>
      <c r="I72" s="325" t="s">
        <v>14</v>
      </c>
      <c r="J72" s="325"/>
      <c r="K72" s="325" t="s">
        <v>15</v>
      </c>
      <c r="L72" s="325"/>
      <c r="M72" s="325" t="s">
        <v>93</v>
      </c>
      <c r="N72" s="325"/>
    </row>
    <row r="73" spans="1:14" ht="15.75" x14ac:dyDescent="0.25">
      <c r="A73" s="323" t="s">
        <v>43</v>
      </c>
      <c r="B73" s="323"/>
      <c r="C73" s="33">
        <v>0.1</v>
      </c>
      <c r="E73" s="321" t="s">
        <v>20</v>
      </c>
      <c r="F73" s="321" t="s">
        <v>21</v>
      </c>
      <c r="G73" s="321" t="s">
        <v>20</v>
      </c>
      <c r="H73" s="321" t="s">
        <v>21</v>
      </c>
      <c r="I73" s="321" t="s">
        <v>20</v>
      </c>
      <c r="J73" s="321" t="s">
        <v>21</v>
      </c>
      <c r="K73" s="321" t="s">
        <v>20</v>
      </c>
      <c r="L73" s="321" t="s">
        <v>21</v>
      </c>
      <c r="M73" s="321" t="s">
        <v>20</v>
      </c>
      <c r="N73" s="321" t="s">
        <v>21</v>
      </c>
    </row>
    <row r="74" spans="1:14" ht="15.75" x14ac:dyDescent="0.25">
      <c r="A74" s="324" t="s">
        <v>45</v>
      </c>
      <c r="B74" s="324"/>
      <c r="C74" s="151">
        <f>C72*C73</f>
        <v>20578.600000000002</v>
      </c>
      <c r="E74" s="321"/>
      <c r="F74" s="321"/>
      <c r="G74" s="321"/>
      <c r="H74" s="321"/>
      <c r="I74" s="321"/>
      <c r="J74" s="321"/>
      <c r="K74" s="321"/>
      <c r="L74" s="321"/>
      <c r="M74" s="321"/>
      <c r="N74" s="321"/>
    </row>
    <row r="75" spans="1:14" x14ac:dyDescent="0.25">
      <c r="E75" s="223">
        <f t="shared" ref="E75:N75" si="15">(E27+E37+E50+E62+E68)*0.1</f>
        <v>7215</v>
      </c>
      <c r="F75" s="223">
        <f t="shared" si="15"/>
        <v>0</v>
      </c>
      <c r="G75" s="223">
        <f t="shared" si="15"/>
        <v>3264.1000000000004</v>
      </c>
      <c r="H75" s="223">
        <f t="shared" si="15"/>
        <v>0</v>
      </c>
      <c r="I75" s="223">
        <f t="shared" si="15"/>
        <v>3314.4</v>
      </c>
      <c r="J75" s="223">
        <f t="shared" si="15"/>
        <v>0</v>
      </c>
      <c r="K75" s="223">
        <f t="shared" si="15"/>
        <v>3366.1000000000004</v>
      </c>
      <c r="L75" s="223">
        <f t="shared" si="15"/>
        <v>0</v>
      </c>
      <c r="M75" s="223">
        <f t="shared" si="15"/>
        <v>3419</v>
      </c>
      <c r="N75" s="223">
        <f t="shared" si="15"/>
        <v>0</v>
      </c>
    </row>
  </sheetData>
  <mergeCells count="69">
    <mergeCell ref="B2:C2"/>
    <mergeCell ref="G2:K2"/>
    <mergeCell ref="E7:F7"/>
    <mergeCell ref="G7:H7"/>
    <mergeCell ref="I7:J7"/>
    <mergeCell ref="K7:L7"/>
    <mergeCell ref="M7:N7"/>
    <mergeCell ref="B8:C8"/>
    <mergeCell ref="B21:N21"/>
    <mergeCell ref="A23:C23"/>
    <mergeCell ref="E23:F23"/>
    <mergeCell ref="G23:H23"/>
    <mergeCell ref="I23:J23"/>
    <mergeCell ref="K23:L23"/>
    <mergeCell ref="M23:N23"/>
    <mergeCell ref="A24:C24"/>
    <mergeCell ref="A25:C25"/>
    <mergeCell ref="A26:C26"/>
    <mergeCell ref="A27:C27"/>
    <mergeCell ref="A29:C29"/>
    <mergeCell ref="G40:H40"/>
    <mergeCell ref="I40:J40"/>
    <mergeCell ref="M40:N40"/>
    <mergeCell ref="A50:C50"/>
    <mergeCell ref="E30:F30"/>
    <mergeCell ref="G30:H30"/>
    <mergeCell ref="I30:J30"/>
    <mergeCell ref="K30:L30"/>
    <mergeCell ref="M30:N30"/>
    <mergeCell ref="A39:C39"/>
    <mergeCell ref="A37:C37"/>
    <mergeCell ref="A30:C30"/>
    <mergeCell ref="K72:L72"/>
    <mergeCell ref="M53:N53"/>
    <mergeCell ref="K40:L40"/>
    <mergeCell ref="A62:C62"/>
    <mergeCell ref="A64:C64"/>
    <mergeCell ref="A65:C65"/>
    <mergeCell ref="E65:F65"/>
    <mergeCell ref="G65:H65"/>
    <mergeCell ref="A52:C52"/>
    <mergeCell ref="A53:C53"/>
    <mergeCell ref="E53:F53"/>
    <mergeCell ref="G53:H53"/>
    <mergeCell ref="I53:J53"/>
    <mergeCell ref="K53:L53"/>
    <mergeCell ref="A40:C40"/>
    <mergeCell ref="E40:F40"/>
    <mergeCell ref="A70:C70"/>
    <mergeCell ref="A72:B72"/>
    <mergeCell ref="E72:F72"/>
    <mergeCell ref="G72:H72"/>
    <mergeCell ref="I72:J72"/>
    <mergeCell ref="M73:M74"/>
    <mergeCell ref="N73:N74"/>
    <mergeCell ref="M72:N72"/>
    <mergeCell ref="I65:J65"/>
    <mergeCell ref="A74:B74"/>
    <mergeCell ref="A73:B73"/>
    <mergeCell ref="E73:E74"/>
    <mergeCell ref="F73:F74"/>
    <mergeCell ref="G73:G74"/>
    <mergeCell ref="J73:J74"/>
    <mergeCell ref="K73:K74"/>
    <mergeCell ref="L73:L74"/>
    <mergeCell ref="H73:H74"/>
    <mergeCell ref="I73:I74"/>
    <mergeCell ref="K65:L65"/>
    <mergeCell ref="M65:N6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B265328AE921499A2A2B23F2614963" ma:contentTypeVersion="4" ma:contentTypeDescription="Create a new document." ma:contentTypeScope="" ma:versionID="ff1ffda186bad9eb85bac0baee7fcafb">
  <xsd:schema xmlns:xsd="http://www.w3.org/2001/XMLSchema" xmlns:xs="http://www.w3.org/2001/XMLSchema" xmlns:p="http://schemas.microsoft.com/office/2006/metadata/properties" xmlns:ns2="af9ca224-eb2b-4407-ae58-49342ee6c6f3" xmlns:ns3="a82245b4-6978-4b28-a03e-d766527e007c" targetNamespace="http://schemas.microsoft.com/office/2006/metadata/properties" ma:root="true" ma:fieldsID="53d507b123eae874533a195a16f4b42c" ns2:_="" ns3:_="">
    <xsd:import namespace="af9ca224-eb2b-4407-ae58-49342ee6c6f3"/>
    <xsd:import namespace="a82245b4-6978-4b28-a03e-d766527e00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9ca224-eb2b-4407-ae58-49342ee6c6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2245b4-6978-4b28-a03e-d766527e00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8F76FF-4777-4BC2-BD44-88DAEAB71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9ca224-eb2b-4407-ae58-49342ee6c6f3"/>
    <ds:schemaRef ds:uri="a82245b4-6978-4b28-a03e-d766527e00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E7FDAA-7FFD-42E4-81EF-E494214D6E0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9756BB9-3FF9-4025-8A6C-1CD9F817CC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Budget Overview</vt:lpstr>
      <vt:lpstr>Budget Narrative</vt:lpstr>
      <vt:lpstr>Staffing</vt:lpstr>
      <vt:lpstr>Travel detail</vt:lpstr>
      <vt:lpstr>Sub 1 (AHS)</vt:lpstr>
      <vt:lpstr>Sub 2 AML</vt:lpstr>
      <vt:lpstr>cash_list</vt:lpstr>
      <vt:lpstr>match_list</vt:lpstr>
      <vt:lpstr>'Budget Overview'!Print_Area</vt:lpstr>
      <vt:lpstr>Staffing!Print_Area</vt:lpstr>
      <vt:lpstr>program_list</vt:lpstr>
      <vt:lpstr>sub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Ryan (Federal)</dc:creator>
  <cp:keywords/>
  <dc:description/>
  <cp:lastModifiedBy>Stehanie Cameron</cp:lastModifiedBy>
  <cp:revision/>
  <cp:lastPrinted>2024-03-25T19:15:54Z</cp:lastPrinted>
  <dcterms:created xsi:type="dcterms:W3CDTF">2018-08-30T16:43:31Z</dcterms:created>
  <dcterms:modified xsi:type="dcterms:W3CDTF">2024-04-01T19:20:09Z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0x0101003CB265328AE921499A2A2B23F2614963</vt:lpwstr>
  </property>
</Properties>
</file>