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fileSharing userName="Microsoft Office User" algorithmName="SHA-512" hashValue="dYmzCP8bWgJyFgOOTvwYMx+9VCxkZVTova2QWFsssVNfGpoI72uSASJCwSqIMv2fYGy8EEo0Q3+0OfcHTWAf8Q==" saltValue="Bq+cfBgbZFmYv004pTKObA==" spinCount="100000"/>
  <workbookPr/>
  <mc:AlternateContent xmlns:mc="http://schemas.openxmlformats.org/markup-compatibility/2006">
    <mc:Choice Requires="x15">
      <x15ac:absPath xmlns:x15ac="http://schemas.microsoft.com/office/spreadsheetml/2010/11/ac" url="/Users/akheatsmart/Documents/ AHS/ PROGRAMS/CPRG/ FINAL DRAFT FILES/"/>
    </mc:Choice>
  </mc:AlternateContent>
  <xr:revisionPtr revIDLastSave="0" documentId="8_{6FF81B8A-A902-8A40-9E9E-D2D508E543AA}" xr6:coauthVersionLast="47" xr6:coauthVersionMax="47" xr10:uidLastSave="{00000000-0000-0000-0000-000000000000}"/>
  <bookViews>
    <workbookView xWindow="0" yWindow="500" windowWidth="28800" windowHeight="17500" activeTab="3" xr2:uid="{00000000-000D-0000-FFFF-FFFF00000000}"/>
  </bookViews>
  <sheets>
    <sheet name="Community Breakdown" sheetId="1" r:id="rId1"/>
    <sheet name="Region Breakdown" sheetId="2" r:id="rId2"/>
    <sheet name="Subregion Breakdown" sheetId="3" r:id="rId3"/>
    <sheet name="GHG Calculations" sheetId="4" r:id="rId4"/>
    <sheet name="Documentation" sheetId="5" r:id="rId5"/>
  </sheet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jOVSRnywdhwZhoe7D+EZcNyv2dW7qWI95LLZCk5QJrs="/>
    </ext>
  </extLst>
</workbook>
</file>

<file path=xl/calcChain.xml><?xml version="1.0" encoding="utf-8"?>
<calcChain xmlns="http://schemas.openxmlformats.org/spreadsheetml/2006/main">
  <c r="G19" i="4" l="1"/>
  <c r="B17" i="3"/>
  <c r="B16" i="3"/>
  <c r="Q15" i="3"/>
  <c r="Q14" i="3"/>
  <c r="Q13" i="3"/>
  <c r="Q10" i="3"/>
  <c r="V9" i="3"/>
  <c r="T9" i="3"/>
  <c r="S9" i="3"/>
  <c r="U9" i="3" s="1"/>
  <c r="R9" i="3"/>
  <c r="K9" i="3"/>
  <c r="J9" i="3"/>
  <c r="G9" i="3"/>
  <c r="H9" i="3" s="1"/>
  <c r="F9" i="3"/>
  <c r="E9" i="3"/>
  <c r="B9" i="3"/>
  <c r="T8" i="3"/>
  <c r="S8" i="3"/>
  <c r="R8" i="3"/>
  <c r="U8" i="3" s="1"/>
  <c r="K8" i="3"/>
  <c r="J8" i="3"/>
  <c r="G8" i="3"/>
  <c r="H8" i="3" s="1"/>
  <c r="F8" i="3"/>
  <c r="E8" i="3"/>
  <c r="B8" i="3"/>
  <c r="T7" i="3"/>
  <c r="T15" i="3" s="1"/>
  <c r="S7" i="3"/>
  <c r="S15" i="3" s="1"/>
  <c r="R7" i="3"/>
  <c r="R15" i="3" s="1"/>
  <c r="K7" i="3"/>
  <c r="J7" i="3"/>
  <c r="G7" i="3"/>
  <c r="H7" i="3" s="1"/>
  <c r="F7" i="3"/>
  <c r="E7" i="3"/>
  <c r="B7" i="3"/>
  <c r="S6" i="3"/>
  <c r="V6" i="3" s="1"/>
  <c r="R6" i="3"/>
  <c r="K6" i="3"/>
  <c r="J6" i="3"/>
  <c r="G6" i="3"/>
  <c r="H6" i="3" s="1"/>
  <c r="F6" i="3"/>
  <c r="E6" i="3"/>
  <c r="B6" i="3"/>
  <c r="V5" i="3"/>
  <c r="T5" i="3"/>
  <c r="S5" i="3"/>
  <c r="R5" i="3"/>
  <c r="U5" i="3" s="1"/>
  <c r="K5" i="3"/>
  <c r="J5" i="3"/>
  <c r="G5" i="3"/>
  <c r="H5" i="3" s="1"/>
  <c r="F5" i="3"/>
  <c r="E5" i="3"/>
  <c r="B5" i="3"/>
  <c r="T4" i="3"/>
  <c r="V4" i="3" s="1"/>
  <c r="S4" i="3"/>
  <c r="R4" i="3"/>
  <c r="K4" i="3"/>
  <c r="J4" i="3"/>
  <c r="G4" i="3"/>
  <c r="H4" i="3" s="1"/>
  <c r="F4" i="3"/>
  <c r="E4" i="3"/>
  <c r="B4" i="3"/>
  <c r="T3" i="3"/>
  <c r="T14" i="3" s="1"/>
  <c r="S3" i="3"/>
  <c r="S14" i="3" s="1"/>
  <c r="R3" i="3"/>
  <c r="R14" i="3" s="1"/>
  <c r="K3" i="3"/>
  <c r="J3" i="3"/>
  <c r="G3" i="3"/>
  <c r="H3" i="3" s="1"/>
  <c r="F3" i="3"/>
  <c r="E3" i="3"/>
  <c r="B3" i="3"/>
  <c r="T2" i="3"/>
  <c r="S2" i="3"/>
  <c r="S10" i="3" s="1"/>
  <c r="R2" i="3"/>
  <c r="V2" i="3" s="1"/>
  <c r="K2" i="3"/>
  <c r="K10" i="3" s="1"/>
  <c r="J2" i="3"/>
  <c r="H2" i="3"/>
  <c r="G2" i="3"/>
  <c r="F2" i="3"/>
  <c r="E2" i="3"/>
  <c r="B2" i="3"/>
  <c r="R14" i="2"/>
  <c r="P14" i="2"/>
  <c r="M14" i="2"/>
  <c r="E14" i="2"/>
  <c r="B14" i="2"/>
  <c r="R13" i="2"/>
  <c r="P13" i="2"/>
  <c r="M13" i="2"/>
  <c r="E13" i="2"/>
  <c r="B13" i="2"/>
  <c r="R12" i="2"/>
  <c r="P12" i="2"/>
  <c r="M12" i="2"/>
  <c r="E12" i="2"/>
  <c r="B12" i="2"/>
  <c r="R11" i="2"/>
  <c r="P11" i="2"/>
  <c r="M11" i="2"/>
  <c r="E11" i="2"/>
  <c r="B11" i="2"/>
  <c r="R10" i="2"/>
  <c r="P10" i="2"/>
  <c r="M10" i="2"/>
  <c r="E10" i="2"/>
  <c r="B10" i="2"/>
  <c r="R9" i="2"/>
  <c r="P9" i="2"/>
  <c r="M9" i="2"/>
  <c r="E9" i="2"/>
  <c r="B9" i="2"/>
  <c r="R8" i="2"/>
  <c r="P8" i="2"/>
  <c r="M8" i="2"/>
  <c r="E8" i="2"/>
  <c r="B8" i="2"/>
  <c r="R7" i="2"/>
  <c r="P7" i="2"/>
  <c r="M7" i="2"/>
  <c r="E7" i="2"/>
  <c r="B7" i="2"/>
  <c r="R6" i="2"/>
  <c r="P6" i="2"/>
  <c r="M6" i="2"/>
  <c r="E6" i="2"/>
  <c r="B6" i="2"/>
  <c r="R5" i="2"/>
  <c r="P5" i="2"/>
  <c r="M5" i="2"/>
  <c r="E5" i="2"/>
  <c r="B5" i="2"/>
  <c r="R4" i="2"/>
  <c r="P4" i="2"/>
  <c r="M4" i="2"/>
  <c r="E4" i="2"/>
  <c r="B4" i="2"/>
  <c r="R3" i="2"/>
  <c r="P3" i="2"/>
  <c r="M3" i="2"/>
  <c r="E3" i="2"/>
  <c r="B3" i="2"/>
  <c r="R2" i="2"/>
  <c r="P2" i="2"/>
  <c r="M2" i="2"/>
  <c r="Q51" i="1" s="1"/>
  <c r="S51" i="1" s="1"/>
  <c r="E2" i="2"/>
  <c r="B2" i="2"/>
  <c r="W51" i="1"/>
  <c r="X51" i="1" s="1"/>
  <c r="V51" i="1"/>
  <c r="U51" i="1"/>
  <c r="R51" i="1"/>
  <c r="P51" i="1"/>
  <c r="M51" i="1"/>
  <c r="L51" i="1"/>
  <c r="G51" i="1"/>
  <c r="W50" i="1"/>
  <c r="X50" i="1" s="1"/>
  <c r="U50" i="1"/>
  <c r="V50" i="1" s="1"/>
  <c r="R50" i="1"/>
  <c r="P50" i="1"/>
  <c r="M50" i="1"/>
  <c r="L50" i="1"/>
  <c r="G50" i="1"/>
  <c r="U49" i="1"/>
  <c r="V49" i="1" s="1"/>
  <c r="R49" i="1"/>
  <c r="Q49" i="1"/>
  <c r="S49" i="1" s="1"/>
  <c r="P49" i="1"/>
  <c r="M49" i="1"/>
  <c r="L49" i="1"/>
  <c r="G49" i="1"/>
  <c r="X48" i="1"/>
  <c r="W48" i="1"/>
  <c r="V48" i="1"/>
  <c r="U48" i="1"/>
  <c r="R48" i="1"/>
  <c r="Q48" i="1"/>
  <c r="S48" i="1" s="1"/>
  <c r="P48" i="1"/>
  <c r="M48" i="1"/>
  <c r="L48" i="1"/>
  <c r="G48" i="1"/>
  <c r="W47" i="1"/>
  <c r="X47" i="1" s="1"/>
  <c r="V47" i="1"/>
  <c r="U47" i="1"/>
  <c r="R47" i="1"/>
  <c r="Q47" i="1"/>
  <c r="S47" i="1" s="1"/>
  <c r="P47" i="1"/>
  <c r="M47" i="1"/>
  <c r="L47" i="1"/>
  <c r="G47" i="1"/>
  <c r="W46" i="1"/>
  <c r="X46" i="1" s="1"/>
  <c r="U46" i="1"/>
  <c r="V46" i="1" s="1"/>
  <c r="S46" i="1"/>
  <c r="R46" i="1"/>
  <c r="Q46" i="1"/>
  <c r="P46" i="1"/>
  <c r="M46" i="1"/>
  <c r="L46" i="1"/>
  <c r="G46" i="1"/>
  <c r="X45" i="1"/>
  <c r="W45" i="1"/>
  <c r="U45" i="1"/>
  <c r="V45" i="1" s="1"/>
  <c r="R45" i="1"/>
  <c r="Q45" i="1"/>
  <c r="S45" i="1" s="1"/>
  <c r="P45" i="1"/>
  <c r="M45" i="1"/>
  <c r="L45" i="1"/>
  <c r="G45" i="1"/>
  <c r="X44" i="1"/>
  <c r="W44" i="1"/>
  <c r="V44" i="1"/>
  <c r="U44" i="1"/>
  <c r="R44" i="1"/>
  <c r="Q44" i="1"/>
  <c r="S44" i="1" s="1"/>
  <c r="P44" i="1"/>
  <c r="M44" i="1"/>
  <c r="L44" i="1"/>
  <c r="G44" i="1"/>
  <c r="W43" i="1"/>
  <c r="X43" i="1" s="1"/>
  <c r="V43" i="1"/>
  <c r="U43" i="1"/>
  <c r="S43" i="1"/>
  <c r="T43" i="1" s="1"/>
  <c r="R43" i="1"/>
  <c r="Q43" i="1"/>
  <c r="P43" i="1"/>
  <c r="M43" i="1"/>
  <c r="L43" i="1"/>
  <c r="G43" i="1"/>
  <c r="W42" i="1"/>
  <c r="X42" i="1" s="1"/>
  <c r="U42" i="1"/>
  <c r="V42" i="1" s="1"/>
  <c r="S42" i="1"/>
  <c r="R42" i="1"/>
  <c r="Q42" i="1"/>
  <c r="P42" i="1"/>
  <c r="M42" i="1"/>
  <c r="L42" i="1"/>
  <c r="W41" i="1"/>
  <c r="X41" i="1" s="1"/>
  <c r="U41" i="1"/>
  <c r="V41" i="1" s="1"/>
  <c r="R41" i="1"/>
  <c r="Q41" i="1"/>
  <c r="S41" i="1" s="1"/>
  <c r="T41" i="1" s="1"/>
  <c r="P41" i="1"/>
  <c r="M41" i="1"/>
  <c r="L41" i="1"/>
  <c r="G41" i="1"/>
  <c r="W40" i="1"/>
  <c r="X40" i="1" s="1"/>
  <c r="U40" i="1"/>
  <c r="V40" i="1" s="1"/>
  <c r="R40" i="1"/>
  <c r="Q40" i="1"/>
  <c r="S40" i="1" s="1"/>
  <c r="T40" i="1" s="1"/>
  <c r="AG40" i="1" s="1"/>
  <c r="AI40" i="1" s="1"/>
  <c r="P40" i="1"/>
  <c r="M40" i="1"/>
  <c r="L40" i="1"/>
  <c r="G40" i="1"/>
  <c r="U39" i="1"/>
  <c r="V39" i="1" s="1"/>
  <c r="R39" i="1"/>
  <c r="Q39" i="1"/>
  <c r="P39" i="1"/>
  <c r="M39" i="1"/>
  <c r="L39" i="1"/>
  <c r="G39" i="1"/>
  <c r="U38" i="1"/>
  <c r="V38" i="1" s="1"/>
  <c r="R38" i="1"/>
  <c r="Q38" i="1"/>
  <c r="P38" i="1"/>
  <c r="M38" i="1"/>
  <c r="L38" i="1"/>
  <c r="G38" i="1"/>
  <c r="AH37" i="1"/>
  <c r="AJ37" i="1" s="1"/>
  <c r="AG37" i="1"/>
  <c r="AI37" i="1" s="1"/>
  <c r="W37" i="1"/>
  <c r="X37" i="1" s="1"/>
  <c r="U37" i="1"/>
  <c r="V37" i="1" s="1"/>
  <c r="R37" i="1"/>
  <c r="Q37" i="1"/>
  <c r="S37" i="1" s="1"/>
  <c r="T37" i="1" s="1"/>
  <c r="P37" i="1"/>
  <c r="M37" i="1"/>
  <c r="L37" i="1"/>
  <c r="G37" i="1"/>
  <c r="U36" i="1"/>
  <c r="V36" i="1" s="1"/>
  <c r="R36" i="1"/>
  <c r="Q36" i="1"/>
  <c r="S36" i="1" s="1"/>
  <c r="T36" i="1" s="1"/>
  <c r="AG36" i="1" s="1"/>
  <c r="AI36" i="1" s="1"/>
  <c r="P36" i="1"/>
  <c r="M36" i="1"/>
  <c r="L36" i="1"/>
  <c r="G36" i="1"/>
  <c r="W35" i="1"/>
  <c r="X35" i="1" s="1"/>
  <c r="U35" i="1"/>
  <c r="V35" i="1" s="1"/>
  <c r="R35" i="1"/>
  <c r="Q35" i="1"/>
  <c r="P35" i="1"/>
  <c r="M35" i="1"/>
  <c r="L35" i="1"/>
  <c r="G35" i="1"/>
  <c r="W34" i="1"/>
  <c r="X34" i="1" s="1"/>
  <c r="U34" i="1"/>
  <c r="V34" i="1" s="1"/>
  <c r="R34" i="1"/>
  <c r="Q34" i="1"/>
  <c r="P34" i="1"/>
  <c r="M34" i="1"/>
  <c r="L34" i="1"/>
  <c r="G34" i="1"/>
  <c r="AH33" i="1"/>
  <c r="AJ33" i="1" s="1"/>
  <c r="AG33" i="1"/>
  <c r="AI33" i="1" s="1"/>
  <c r="W33" i="1"/>
  <c r="X33" i="1" s="1"/>
  <c r="U33" i="1"/>
  <c r="V33" i="1" s="1"/>
  <c r="R33" i="1"/>
  <c r="Q33" i="1"/>
  <c r="S33" i="1" s="1"/>
  <c r="T33" i="1" s="1"/>
  <c r="P33" i="1"/>
  <c r="M33" i="1"/>
  <c r="L33" i="1"/>
  <c r="G33" i="1"/>
  <c r="W32" i="1"/>
  <c r="X32" i="1" s="1"/>
  <c r="U32" i="1"/>
  <c r="V32" i="1" s="1"/>
  <c r="R32" i="1"/>
  <c r="Q32" i="1"/>
  <c r="S32" i="1" s="1"/>
  <c r="T32" i="1" s="1"/>
  <c r="AG32" i="1" s="1"/>
  <c r="AI32" i="1" s="1"/>
  <c r="P32" i="1"/>
  <c r="M32" i="1"/>
  <c r="L32" i="1"/>
  <c r="G32" i="1"/>
  <c r="W31" i="1"/>
  <c r="X31" i="1" s="1"/>
  <c r="V31" i="1"/>
  <c r="U31" i="1"/>
  <c r="R31" i="1"/>
  <c r="Q31" i="1"/>
  <c r="P31" i="1"/>
  <c r="M31" i="1"/>
  <c r="L31" i="1"/>
  <c r="G31" i="1"/>
  <c r="W30" i="1"/>
  <c r="X30" i="1" s="1"/>
  <c r="U30" i="1"/>
  <c r="V30" i="1" s="1"/>
  <c r="R30" i="1"/>
  <c r="Q30" i="1"/>
  <c r="P30" i="1"/>
  <c r="M30" i="1"/>
  <c r="L30" i="1"/>
  <c r="G30" i="1"/>
  <c r="W29" i="1"/>
  <c r="X29" i="1" s="1"/>
  <c r="U29" i="1"/>
  <c r="V29" i="1" s="1"/>
  <c r="R29" i="1"/>
  <c r="Q29" i="1"/>
  <c r="S29" i="1" s="1"/>
  <c r="T29" i="1" s="1"/>
  <c r="P29" i="1"/>
  <c r="M29" i="1"/>
  <c r="L29" i="1"/>
  <c r="G29" i="1"/>
  <c r="W28" i="1"/>
  <c r="X28" i="1" s="1"/>
  <c r="U28" i="1"/>
  <c r="V28" i="1" s="1"/>
  <c r="R28" i="1"/>
  <c r="Q28" i="1"/>
  <c r="S28" i="1" s="1"/>
  <c r="T28" i="1" s="1"/>
  <c r="AG28" i="1" s="1"/>
  <c r="AI28" i="1" s="1"/>
  <c r="P28" i="1"/>
  <c r="M28" i="1"/>
  <c r="L28" i="1"/>
  <c r="G28" i="1"/>
  <c r="W27" i="1"/>
  <c r="X27" i="1" s="1"/>
  <c r="U27" i="1"/>
  <c r="V27" i="1" s="1"/>
  <c r="R27" i="1"/>
  <c r="Q27" i="1"/>
  <c r="P27" i="1"/>
  <c r="M27" i="1"/>
  <c r="L27" i="1"/>
  <c r="G27" i="1"/>
  <c r="W26" i="1"/>
  <c r="X26" i="1" s="1"/>
  <c r="U26" i="1"/>
  <c r="V26" i="1" s="1"/>
  <c r="R26" i="1"/>
  <c r="Q26" i="1"/>
  <c r="P26" i="1"/>
  <c r="M26" i="1"/>
  <c r="L26" i="1"/>
  <c r="G26" i="1"/>
  <c r="AH25" i="1"/>
  <c r="AJ25" i="1" s="1"/>
  <c r="W25" i="1"/>
  <c r="X25" i="1" s="1"/>
  <c r="U25" i="1"/>
  <c r="V25" i="1" s="1"/>
  <c r="R25" i="1"/>
  <c r="Q25" i="1"/>
  <c r="S25" i="1" s="1"/>
  <c r="T25" i="1" s="1"/>
  <c r="P25" i="1"/>
  <c r="M25" i="1"/>
  <c r="L25" i="1"/>
  <c r="G25" i="1"/>
  <c r="W24" i="1"/>
  <c r="X24" i="1" s="1"/>
  <c r="U24" i="1"/>
  <c r="V24" i="1" s="1"/>
  <c r="R24" i="1"/>
  <c r="Q24" i="1"/>
  <c r="S24" i="1" s="1"/>
  <c r="T24" i="1" s="1"/>
  <c r="AG24" i="1" s="1"/>
  <c r="AI24" i="1" s="1"/>
  <c r="P24" i="1"/>
  <c r="M24" i="1"/>
  <c r="L24" i="1"/>
  <c r="G24" i="1"/>
  <c r="W23" i="1"/>
  <c r="X23" i="1" s="1"/>
  <c r="U23" i="1"/>
  <c r="V23" i="1" s="1"/>
  <c r="R23" i="1"/>
  <c r="Q23" i="1"/>
  <c r="P23" i="1"/>
  <c r="M23" i="1"/>
  <c r="L23" i="1"/>
  <c r="G23" i="1"/>
  <c r="W22" i="1"/>
  <c r="X22" i="1" s="1"/>
  <c r="U22" i="1"/>
  <c r="V22" i="1" s="1"/>
  <c r="R22" i="1"/>
  <c r="Q22" i="1"/>
  <c r="P22" i="1"/>
  <c r="M22" i="1"/>
  <c r="L22" i="1"/>
  <c r="G22" i="1"/>
  <c r="AH21" i="1"/>
  <c r="AJ21" i="1" s="1"/>
  <c r="AG21" i="1"/>
  <c r="AI21" i="1" s="1"/>
  <c r="W21" i="1"/>
  <c r="X21" i="1" s="1"/>
  <c r="U21" i="1"/>
  <c r="V21" i="1" s="1"/>
  <c r="R21" i="1"/>
  <c r="Q21" i="1"/>
  <c r="S21" i="1" s="1"/>
  <c r="T21" i="1" s="1"/>
  <c r="P21" i="1"/>
  <c r="M21" i="1"/>
  <c r="L21" i="1"/>
  <c r="G21" i="1"/>
  <c r="U20" i="1"/>
  <c r="V20" i="1" s="1"/>
  <c r="R20" i="1"/>
  <c r="Q20" i="1"/>
  <c r="S20" i="1" s="1"/>
  <c r="T20" i="1" s="1"/>
  <c r="AG20" i="1" s="1"/>
  <c r="AI20" i="1" s="1"/>
  <c r="P20" i="1"/>
  <c r="M20" i="1"/>
  <c r="L20" i="1"/>
  <c r="G20" i="1"/>
  <c r="W19" i="1"/>
  <c r="X19" i="1" s="1"/>
  <c r="U19" i="1"/>
  <c r="V19" i="1" s="1"/>
  <c r="R19" i="1"/>
  <c r="Q19" i="1"/>
  <c r="P19" i="1"/>
  <c r="M19" i="1"/>
  <c r="L19" i="1"/>
  <c r="G19" i="1"/>
  <c r="W18" i="1"/>
  <c r="X18" i="1" s="1"/>
  <c r="U18" i="1"/>
  <c r="V18" i="1" s="1"/>
  <c r="R18" i="1"/>
  <c r="Q18" i="1"/>
  <c r="P18" i="1"/>
  <c r="M18" i="1"/>
  <c r="L18" i="1"/>
  <c r="G18" i="1"/>
  <c r="W17" i="1"/>
  <c r="X17" i="1" s="1"/>
  <c r="U17" i="1"/>
  <c r="V17" i="1" s="1"/>
  <c r="R17" i="1"/>
  <c r="Q17" i="1"/>
  <c r="P17" i="1"/>
  <c r="M17" i="1"/>
  <c r="L17" i="1"/>
  <c r="G17" i="1"/>
  <c r="AH16" i="1"/>
  <c r="AJ16" i="1" s="1"/>
  <c r="AG16" i="1"/>
  <c r="AI16" i="1" s="1"/>
  <c r="W16" i="1"/>
  <c r="X16" i="1" s="1"/>
  <c r="U16" i="1"/>
  <c r="V16" i="1" s="1"/>
  <c r="R16" i="1"/>
  <c r="Q16" i="1"/>
  <c r="S16" i="1" s="1"/>
  <c r="T16" i="1" s="1"/>
  <c r="P16" i="1"/>
  <c r="M16" i="1"/>
  <c r="I7" i="3" s="1"/>
  <c r="L16" i="1"/>
  <c r="G16" i="1"/>
  <c r="AH15" i="1"/>
  <c r="AJ15" i="1" s="1"/>
  <c r="W15" i="1"/>
  <c r="X15" i="1" s="1"/>
  <c r="U15" i="1"/>
  <c r="V15" i="1" s="1"/>
  <c r="R15" i="1"/>
  <c r="Q15" i="1"/>
  <c r="S15" i="1" s="1"/>
  <c r="T15" i="1" s="1"/>
  <c r="P15" i="1"/>
  <c r="M15" i="1"/>
  <c r="L15" i="1"/>
  <c r="G15" i="1"/>
  <c r="W14" i="1"/>
  <c r="X14" i="1" s="1"/>
  <c r="U14" i="1"/>
  <c r="V14" i="1" s="1"/>
  <c r="L6" i="3" s="1"/>
  <c r="R14" i="1"/>
  <c r="Q14" i="1"/>
  <c r="S14" i="1" s="1"/>
  <c r="T14" i="1" s="1"/>
  <c r="P14" i="1"/>
  <c r="M14" i="1"/>
  <c r="L14" i="1"/>
  <c r="G14" i="1"/>
  <c r="W13" i="1"/>
  <c r="X13" i="1" s="1"/>
  <c r="U13" i="1"/>
  <c r="V13" i="1" s="1"/>
  <c r="R13" i="1"/>
  <c r="Q13" i="1"/>
  <c r="P13" i="1"/>
  <c r="M13" i="1"/>
  <c r="L13" i="1"/>
  <c r="G13" i="1"/>
  <c r="AH12" i="1"/>
  <c r="AJ12" i="1" s="1"/>
  <c r="AG12" i="1"/>
  <c r="AI12" i="1" s="1"/>
  <c r="W12" i="1"/>
  <c r="X12" i="1" s="1"/>
  <c r="U12" i="1"/>
  <c r="V12" i="1" s="1"/>
  <c r="R12" i="1"/>
  <c r="Q12" i="1"/>
  <c r="S12" i="1" s="1"/>
  <c r="T12" i="1" s="1"/>
  <c r="P12" i="1"/>
  <c r="M12" i="1"/>
  <c r="L12" i="1"/>
  <c r="G12" i="1"/>
  <c r="AH11" i="1"/>
  <c r="AJ11" i="1" s="1"/>
  <c r="W11" i="1"/>
  <c r="X11" i="1" s="1"/>
  <c r="U11" i="1"/>
  <c r="V11" i="1" s="1"/>
  <c r="R11" i="1"/>
  <c r="Q11" i="1"/>
  <c r="S11" i="1" s="1"/>
  <c r="T11" i="1" s="1"/>
  <c r="P11" i="1"/>
  <c r="M11" i="1"/>
  <c r="L11" i="1"/>
  <c r="G11" i="1"/>
  <c r="W10" i="1"/>
  <c r="X10" i="1" s="1"/>
  <c r="U10" i="1"/>
  <c r="V10" i="1" s="1"/>
  <c r="R10" i="1"/>
  <c r="Q10" i="1"/>
  <c r="S10" i="1" s="1"/>
  <c r="T10" i="1" s="1"/>
  <c r="P10" i="1"/>
  <c r="M10" i="1"/>
  <c r="L10" i="1"/>
  <c r="G10" i="1"/>
  <c r="W9" i="1"/>
  <c r="X9" i="1" s="1"/>
  <c r="U9" i="1"/>
  <c r="V9" i="1" s="1"/>
  <c r="S9" i="1"/>
  <c r="T9" i="1" s="1"/>
  <c r="R9" i="1"/>
  <c r="Q9" i="1"/>
  <c r="P9" i="1"/>
  <c r="M9" i="1"/>
  <c r="L9" i="1"/>
  <c r="X8" i="1"/>
  <c r="W8" i="1"/>
  <c r="V8" i="1"/>
  <c r="U8" i="1"/>
  <c r="R8" i="1"/>
  <c r="Q8" i="1"/>
  <c r="S8" i="1" s="1"/>
  <c r="P8" i="1"/>
  <c r="M8" i="1"/>
  <c r="L8" i="1"/>
  <c r="X7" i="1"/>
  <c r="W7" i="1"/>
  <c r="U7" i="1"/>
  <c r="V7" i="1" s="1"/>
  <c r="R7" i="1"/>
  <c r="Q7" i="1"/>
  <c r="S7" i="1" s="1"/>
  <c r="P7" i="1"/>
  <c r="M7" i="1"/>
  <c r="L7" i="1"/>
  <c r="G7" i="1"/>
  <c r="W6" i="1"/>
  <c r="X6" i="1" s="1"/>
  <c r="U6" i="1"/>
  <c r="V6" i="1" s="1"/>
  <c r="L2" i="3" s="1"/>
  <c r="R6" i="1"/>
  <c r="Q6" i="1"/>
  <c r="S6" i="1" s="1"/>
  <c r="P6" i="1"/>
  <c r="M6" i="1"/>
  <c r="I2" i="3" s="1"/>
  <c r="L6" i="1"/>
  <c r="G6" i="1"/>
  <c r="W5" i="1"/>
  <c r="X5" i="1" s="1"/>
  <c r="U5" i="1"/>
  <c r="V5" i="1" s="1"/>
  <c r="R5" i="1"/>
  <c r="Q5" i="1"/>
  <c r="S5" i="1" s="1"/>
  <c r="P5" i="1"/>
  <c r="M5" i="1"/>
  <c r="L5" i="1"/>
  <c r="G5" i="1"/>
  <c r="W4" i="1"/>
  <c r="X4" i="1" s="1"/>
  <c r="U4" i="1"/>
  <c r="V4" i="1" s="1"/>
  <c r="L9" i="3" s="1"/>
  <c r="R4" i="1"/>
  <c r="Q4" i="1"/>
  <c r="S4" i="1" s="1"/>
  <c r="P4" i="1"/>
  <c r="M4" i="1"/>
  <c r="L4" i="1"/>
  <c r="G4" i="1"/>
  <c r="L4" i="3" l="1"/>
  <c r="T6" i="1"/>
  <c r="AG6" i="1" s="1"/>
  <c r="AI6" i="1" s="1"/>
  <c r="N2" i="3" s="1"/>
  <c r="T7" i="1"/>
  <c r="AH7" i="1" s="1"/>
  <c r="AJ7" i="1" s="1"/>
  <c r="T42" i="1"/>
  <c r="AG42" i="1"/>
  <c r="AI42" i="1" s="1"/>
  <c r="AH42" i="1"/>
  <c r="AJ42" i="1" s="1"/>
  <c r="T47" i="1"/>
  <c r="AG47" i="1"/>
  <c r="AI47" i="1" s="1"/>
  <c r="AH47" i="1"/>
  <c r="AJ47" i="1" s="1"/>
  <c r="W49" i="1"/>
  <c r="X49" i="1" s="1"/>
  <c r="W38" i="1"/>
  <c r="X38" i="1" s="1"/>
  <c r="W39" i="1"/>
  <c r="X39" i="1" s="1"/>
  <c r="T51" i="1"/>
  <c r="AH51" i="1"/>
  <c r="AJ51" i="1" s="1"/>
  <c r="AG51" i="1"/>
  <c r="AI51" i="1" s="1"/>
  <c r="I3" i="3"/>
  <c r="L8" i="3"/>
  <c r="AG10" i="1"/>
  <c r="AI10" i="1" s="1"/>
  <c r="I4" i="3"/>
  <c r="AG14" i="1"/>
  <c r="AI14" i="1" s="1"/>
  <c r="N6" i="3" s="1"/>
  <c r="AG29" i="1"/>
  <c r="AI29" i="1" s="1"/>
  <c r="AG41" i="1"/>
  <c r="AI41" i="1" s="1"/>
  <c r="T44" i="1"/>
  <c r="AG44" i="1" s="1"/>
  <c r="AI44" i="1" s="1"/>
  <c r="T46" i="1"/>
  <c r="AH46" i="1"/>
  <c r="AJ46" i="1" s="1"/>
  <c r="AG46" i="1"/>
  <c r="AI46" i="1" s="1"/>
  <c r="T48" i="1"/>
  <c r="AG48" i="1" s="1"/>
  <c r="AI48" i="1" s="1"/>
  <c r="AH48" i="1"/>
  <c r="AJ48" i="1" s="1"/>
  <c r="T49" i="1"/>
  <c r="AH49" i="1" s="1"/>
  <c r="AJ49" i="1" s="1"/>
  <c r="AG49" i="1"/>
  <c r="AI49" i="1" s="1"/>
  <c r="AG9" i="1"/>
  <c r="AI9" i="1" s="1"/>
  <c r="I9" i="3"/>
  <c r="T8" i="1"/>
  <c r="AG8" i="1" s="1"/>
  <c r="AI8" i="1" s="1"/>
  <c r="N5" i="3" s="1"/>
  <c r="AH9" i="1"/>
  <c r="AJ9" i="1" s="1"/>
  <c r="L3" i="3"/>
  <c r="T4" i="1"/>
  <c r="AG4" i="1" s="1"/>
  <c r="AI4" i="1" s="1"/>
  <c r="AH4" i="1"/>
  <c r="AJ4" i="1" s="1"/>
  <c r="AH10" i="1"/>
  <c r="AJ10" i="1" s="1"/>
  <c r="AH14" i="1"/>
  <c r="AJ14" i="1" s="1"/>
  <c r="O6" i="3" s="1"/>
  <c r="X6" i="3" s="1"/>
  <c r="AH29" i="1"/>
  <c r="AJ29" i="1" s="1"/>
  <c r="AH41" i="1"/>
  <c r="AJ41" i="1" s="1"/>
  <c r="T5" i="1"/>
  <c r="AG5" i="1" s="1"/>
  <c r="AI5" i="1" s="1"/>
  <c r="AH5" i="1"/>
  <c r="AJ5" i="1" s="1"/>
  <c r="T45" i="1"/>
  <c r="AH45" i="1" s="1"/>
  <c r="AJ45" i="1" s="1"/>
  <c r="AG45" i="1"/>
  <c r="AI45" i="1" s="1"/>
  <c r="L5" i="3"/>
  <c r="AG11" i="1"/>
  <c r="AI11" i="1" s="1"/>
  <c r="S13" i="1"/>
  <c r="I6" i="3"/>
  <c r="AG15" i="1"/>
  <c r="AI15" i="1" s="1"/>
  <c r="L7" i="3"/>
  <c r="S17" i="1"/>
  <c r="W20" i="1"/>
  <c r="X20" i="1" s="1"/>
  <c r="AG25" i="1"/>
  <c r="AI25" i="1" s="1"/>
  <c r="W36" i="1"/>
  <c r="X36" i="1" s="1"/>
  <c r="I5" i="3"/>
  <c r="S18" i="1"/>
  <c r="S22" i="1"/>
  <c r="S26" i="1"/>
  <c r="S30" i="1"/>
  <c r="S34" i="1"/>
  <c r="S38" i="1"/>
  <c r="AH20" i="1"/>
  <c r="AJ20" i="1" s="1"/>
  <c r="AH28" i="1"/>
  <c r="AJ28" i="1" s="1"/>
  <c r="AG43" i="1"/>
  <c r="AI43" i="1" s="1"/>
  <c r="V13" i="3"/>
  <c r="AH36" i="1"/>
  <c r="AJ36" i="1" s="1"/>
  <c r="AH43" i="1"/>
  <c r="AJ43" i="1" s="1"/>
  <c r="AH24" i="1"/>
  <c r="AJ24" i="1" s="1"/>
  <c r="AH32" i="1"/>
  <c r="AJ32" i="1" s="1"/>
  <c r="AH40" i="1"/>
  <c r="AJ40" i="1" s="1"/>
  <c r="I8" i="3"/>
  <c r="S19" i="1"/>
  <c r="S23" i="1"/>
  <c r="S27" i="1"/>
  <c r="S31" i="1"/>
  <c r="S35" i="1"/>
  <c r="S39" i="1"/>
  <c r="T10" i="3"/>
  <c r="Q50" i="1"/>
  <c r="S50" i="1" s="1"/>
  <c r="G10" i="3"/>
  <c r="V8" i="3"/>
  <c r="U3" i="3"/>
  <c r="U14" i="3" s="1"/>
  <c r="U6" i="3"/>
  <c r="V3" i="3"/>
  <c r="R13" i="3"/>
  <c r="U4" i="3"/>
  <c r="U7" i="3"/>
  <c r="U15" i="3" s="1"/>
  <c r="R10" i="3"/>
  <c r="U10" i="3" s="1"/>
  <c r="S13" i="3"/>
  <c r="V7" i="3"/>
  <c r="B21" i="3" s="1"/>
  <c r="T13" i="3"/>
  <c r="U2" i="3"/>
  <c r="U13" i="3" s="1"/>
  <c r="W9" i="3" l="1"/>
  <c r="W4" i="3"/>
  <c r="W5" i="3"/>
  <c r="W6" i="3"/>
  <c r="W2" i="3"/>
  <c r="W13" i="3" s="1"/>
  <c r="AH6" i="1"/>
  <c r="AJ6" i="1" s="1"/>
  <c r="O2" i="3" s="1"/>
  <c r="AH31" i="1"/>
  <c r="AJ31" i="1" s="1"/>
  <c r="T31" i="1"/>
  <c r="AG31" i="1" s="1"/>
  <c r="AI31" i="1" s="1"/>
  <c r="T27" i="1"/>
  <c r="AH27" i="1" s="1"/>
  <c r="AJ27" i="1" s="1"/>
  <c r="AH8" i="1"/>
  <c r="AJ8" i="1" s="1"/>
  <c r="O5" i="3" s="1"/>
  <c r="X5" i="3" s="1"/>
  <c r="AH23" i="1"/>
  <c r="AJ23" i="1" s="1"/>
  <c r="AG23" i="1"/>
  <c r="AI23" i="1" s="1"/>
  <c r="T23" i="1"/>
  <c r="T38" i="1"/>
  <c r="AH38" i="1" s="1"/>
  <c r="AJ38" i="1" s="1"/>
  <c r="M5" i="3"/>
  <c r="AH19" i="1"/>
  <c r="AJ19" i="1" s="1"/>
  <c r="AG19" i="1"/>
  <c r="AI19" i="1" s="1"/>
  <c r="T19" i="1"/>
  <c r="V10" i="3"/>
  <c r="T30" i="1"/>
  <c r="AH30" i="1" s="1"/>
  <c r="AJ30" i="1" s="1"/>
  <c r="T17" i="1"/>
  <c r="AH17" i="1" s="1"/>
  <c r="AJ17" i="1" s="1"/>
  <c r="O7" i="3" s="1"/>
  <c r="X7" i="3" s="1"/>
  <c r="X15" i="3" s="1"/>
  <c r="M4" i="3"/>
  <c r="O9" i="3"/>
  <c r="X9" i="3" s="1"/>
  <c r="T50" i="1"/>
  <c r="AH50" i="1"/>
  <c r="AJ50" i="1" s="1"/>
  <c r="AG50" i="1"/>
  <c r="AI50" i="1" s="1"/>
  <c r="AH26" i="1"/>
  <c r="AJ26" i="1" s="1"/>
  <c r="AG26" i="1"/>
  <c r="AI26" i="1" s="1"/>
  <c r="T26" i="1"/>
  <c r="V14" i="3"/>
  <c r="W3" i="3"/>
  <c r="T39" i="1"/>
  <c r="AH39" i="1" s="1"/>
  <c r="AJ39" i="1" s="1"/>
  <c r="AH22" i="1"/>
  <c r="AJ22" i="1" s="1"/>
  <c r="AG22" i="1"/>
  <c r="AI22" i="1" s="1"/>
  <c r="T22" i="1"/>
  <c r="AH44" i="1"/>
  <c r="AJ44" i="1" s="1"/>
  <c r="V15" i="3"/>
  <c r="W7" i="3"/>
  <c r="W15" i="3" s="1"/>
  <c r="W8" i="3"/>
  <c r="AH34" i="1"/>
  <c r="AJ34" i="1" s="1"/>
  <c r="T34" i="1"/>
  <c r="AG34" i="1" s="1"/>
  <c r="AI34" i="1" s="1"/>
  <c r="T35" i="1"/>
  <c r="AG35" i="1" s="1"/>
  <c r="AI35" i="1" s="1"/>
  <c r="AH18" i="1"/>
  <c r="AJ18" i="1" s="1"/>
  <c r="O8" i="3" s="1"/>
  <c r="X8" i="3" s="1"/>
  <c r="AG18" i="1"/>
  <c r="AI18" i="1" s="1"/>
  <c r="T18" i="1"/>
  <c r="L10" i="3"/>
  <c r="M8" i="3" s="1"/>
  <c r="AG7" i="1"/>
  <c r="AI7" i="1" s="1"/>
  <c r="N9" i="3" s="1"/>
  <c r="T13" i="1"/>
  <c r="AH13" i="1"/>
  <c r="AJ13" i="1" s="1"/>
  <c r="AG13" i="1"/>
  <c r="AI13" i="1" s="1"/>
  <c r="AG17" i="1" l="1"/>
  <c r="AI17" i="1" s="1"/>
  <c r="N7" i="3" s="1"/>
  <c r="O4" i="3"/>
  <c r="X4" i="3" s="1"/>
  <c r="N8" i="3"/>
  <c r="X2" i="3"/>
  <c r="N4" i="3"/>
  <c r="O3" i="3"/>
  <c r="X3" i="3" s="1"/>
  <c r="X14" i="3" s="1"/>
  <c r="AG39" i="1"/>
  <c r="AI39" i="1" s="1"/>
  <c r="AG27" i="1"/>
  <c r="AI27" i="1" s="1"/>
  <c r="AH35" i="1"/>
  <c r="AJ35" i="1" s="1"/>
  <c r="W14" i="3"/>
  <c r="AG30" i="1"/>
  <c r="AI30" i="1" s="1"/>
  <c r="AG38" i="1"/>
  <c r="AI38" i="1" s="1"/>
  <c r="M2" i="3"/>
  <c r="M9" i="3"/>
  <c r="M6" i="3"/>
  <c r="M3" i="3"/>
  <c r="M7" i="3"/>
  <c r="X13" i="3" l="1"/>
  <c r="X10" i="3"/>
  <c r="O10" i="3"/>
  <c r="J3" i="4" s="1"/>
  <c r="N3" i="3"/>
  <c r="N10" i="3" s="1"/>
  <c r="F20" i="4" l="1"/>
  <c r="E20" i="4"/>
  <c r="D20" i="4"/>
  <c r="C20" i="4"/>
  <c r="B20" i="4"/>
  <c r="G20" i="4" l="1"/>
  <c r="J5" i="4"/>
  <c r="J7" i="4" s="1"/>
  <c r="J6" i="4"/>
</calcChain>
</file>

<file path=xl/sharedStrings.xml><?xml version="1.0" encoding="utf-8"?>
<sst xmlns="http://schemas.openxmlformats.org/spreadsheetml/2006/main" count="433" uniqueCount="210">
  <si>
    <t>Alaska Heat Pump Calculator Data</t>
  </si>
  <si>
    <t>Lat</t>
  </si>
  <si>
    <t>Long</t>
  </si>
  <si>
    <t>% Population Native (Average from region)</t>
  </si>
  <si>
    <t>Average Housing Data</t>
  </si>
  <si>
    <t>Low Efficiency Homes</t>
  </si>
  <si>
    <t>Standard/High Efficiency Homes</t>
  </si>
  <si>
    <t>Name</t>
  </si>
  <si>
    <t>Region</t>
  </si>
  <si>
    <t>Sub-Region</t>
  </si>
  <si>
    <t>Tier</t>
  </si>
  <si>
    <t>Fossil Fuel Electricity Generation (%)</t>
  </si>
  <si>
    <t>Renewable Energy Electricity Generation (%)</t>
  </si>
  <si>
    <t>Electricity Price ($/kWh)</t>
  </si>
  <si>
    <t>OIl 1 Price ($)</t>
  </si>
  <si>
    <t>Population</t>
  </si>
  <si>
    <t>% of total CPRG focus region population</t>
  </si>
  <si>
    <t>Housing Units</t>
  </si>
  <si>
    <t>Occupied Housing Units</t>
  </si>
  <si>
    <t>Average House sq.</t>
  </si>
  <si>
    <t>% Homes built before 1980 &amp; not retrofitted</t>
  </si>
  <si>
    <t>% Homes Classified as Drafty</t>
  </si>
  <si>
    <t>% Low Energy Efficient Homes</t>
  </si>
  <si>
    <t>% Standard/High Energy Efficient Homes</t>
  </si>
  <si>
    <t>% Homes Fossil Fuel Heat</t>
  </si>
  <si>
    <t>Estimate # Homes Fossil Fuel Heat</t>
  </si>
  <si>
    <t>% Homes Electric Heat</t>
  </si>
  <si>
    <t>Estimate # Homes Electric Heat</t>
  </si>
  <si>
    <t>Net Present Value ($)</t>
  </si>
  <si>
    <t>Annual Heating Fuel Savings (gal)</t>
  </si>
  <si>
    <t>Annual Increase in Electricity Usage (kWh)</t>
  </si>
  <si>
    <t>Annual GHG Emissions Savings (lbCO2)</t>
  </si>
  <si>
    <t>Efficiency-weighted Heating Fuel Savings (gal)</t>
  </si>
  <si>
    <t>Efficiency-weighted Annual GHG (MTCO2)</t>
  </si>
  <si>
    <t>Heating Fuel Savings * Occupied Housing Units</t>
  </si>
  <si>
    <t>Annual GHG * Occupied Housing Units</t>
  </si>
  <si>
    <t>Kodiak</t>
  </si>
  <si>
    <t>Kodiak Island Borough</t>
  </si>
  <si>
    <t>Kodiak Island</t>
  </si>
  <si>
    <t>Port Lions</t>
  </si>
  <si>
    <t>Juneau</t>
  </si>
  <si>
    <t>Juneau Cit and Borough</t>
  </si>
  <si>
    <t>Larsen Bay</t>
  </si>
  <si>
    <t>Petersburg</t>
  </si>
  <si>
    <t>Petersburg Borough</t>
  </si>
  <si>
    <t>Petersburg-Wrangell</t>
  </si>
  <si>
    <t>Kupreanof</t>
  </si>
  <si>
    <t>Wrangell</t>
  </si>
  <si>
    <t>Wrangell Borough</t>
  </si>
  <si>
    <t>Ketchikan</t>
  </si>
  <si>
    <t>Ketchikan Gateway Borough</t>
  </si>
  <si>
    <t>Ketchikan-Prince of Wales</t>
  </si>
  <si>
    <t>Saxman</t>
  </si>
  <si>
    <t>Sitka</t>
  </si>
  <si>
    <t>Sitka Borough</t>
  </si>
  <si>
    <t>Sitka-Hoonah-Yakutat</t>
  </si>
  <si>
    <t>Haines</t>
  </si>
  <si>
    <t>Haines Borough</t>
  </si>
  <si>
    <t>Haines-Skagway</t>
  </si>
  <si>
    <t>Skagway</t>
  </si>
  <si>
    <t>Skagway Borough</t>
  </si>
  <si>
    <t>Valdez</t>
  </si>
  <si>
    <t>Chugach Census Area</t>
  </si>
  <si>
    <t>Chugach</t>
  </si>
  <si>
    <t>Cordova</t>
  </si>
  <si>
    <t>Seward</t>
  </si>
  <si>
    <t>Kenai Peninsula Borough</t>
  </si>
  <si>
    <t>Kenai Peninsula</t>
  </si>
  <si>
    <t>Whittier</t>
  </si>
  <si>
    <t>Gustavus</t>
  </si>
  <si>
    <t>Hoonah-Angoon Census Area</t>
  </si>
  <si>
    <t>Coffman Cove</t>
  </si>
  <si>
    <t>Prince of Wales-Hyder Census Area</t>
  </si>
  <si>
    <t>Craig</t>
  </si>
  <si>
    <t>Hollis</t>
  </si>
  <si>
    <t>Hydaburg</t>
  </si>
  <si>
    <t>Kasaan</t>
  </si>
  <si>
    <t>Klawock</t>
  </si>
  <si>
    <t>Naukati</t>
  </si>
  <si>
    <t>Thorne Bay</t>
  </si>
  <si>
    <t>Edna Bay</t>
  </si>
  <si>
    <t>Hyder</t>
  </si>
  <si>
    <t>Homer</t>
  </si>
  <si>
    <t>Port Graham</t>
  </si>
  <si>
    <t>Seldovia</t>
  </si>
  <si>
    <t>Nanwalek</t>
  </si>
  <si>
    <t>Metlakatla</t>
  </si>
  <si>
    <t>Pelican</t>
  </si>
  <si>
    <t>Kake</t>
  </si>
  <si>
    <t>Angoon</t>
  </si>
  <si>
    <t>Hoonah</t>
  </si>
  <si>
    <t>Klukwan</t>
  </si>
  <si>
    <t>Old Harbor</t>
  </si>
  <si>
    <t>Ouzinkie</t>
  </si>
  <si>
    <t>Akhiok</t>
  </si>
  <si>
    <t>Yakutat</t>
  </si>
  <si>
    <t>Yakutat City and Borough</t>
  </si>
  <si>
    <t>Port Alexander</t>
  </si>
  <si>
    <t>Point Baker</t>
  </si>
  <si>
    <t>Port Protection</t>
  </si>
  <si>
    <t>Whale Pass</t>
  </si>
  <si>
    <t>Tenakee Springs</t>
  </si>
  <si>
    <t>Chenega</t>
  </si>
  <si>
    <t>Tatitlek</t>
  </si>
  <si>
    <t>Communities in the region</t>
  </si>
  <si>
    <t>Fossil Fuels</t>
  </si>
  <si>
    <t>Renewables</t>
  </si>
  <si>
    <t>% Population Low Income</t>
  </si>
  <si>
    <t>% Population Mid Income</t>
  </si>
  <si>
    <t xml:space="preserve">% Occupied 1* Homes </t>
  </si>
  <si>
    <t># Homes Fossil Fuel Heat</t>
  </si>
  <si>
    <t># Homes Electric Heat</t>
  </si>
  <si>
    <t>Communities in the Sub-Region</t>
  </si>
  <si>
    <t>Average Electricity Price ($/kWh)</t>
  </si>
  <si>
    <t>Average OIl #1 Price ($)</t>
  </si>
  <si>
    <t>% of total CPRG  focus population</t>
  </si>
  <si>
    <t>% Fossil Fuel Heated Homes in CPRG area</t>
  </si>
  <si>
    <t>Average Efficiency-weighted Heating Fuel Savings (gal)</t>
  </si>
  <si>
    <t>Average Efficiency-weighted Annual GHG (MTCO2)</t>
  </si>
  <si>
    <t>Target % increase in 5 years</t>
  </si>
  <si>
    <t>#homes at % allocation</t>
  </si>
  <si>
    <t># Heat pumps at Cost incentive 1</t>
  </si>
  <si>
    <t># Heat pumps at Cost incentive 2</t>
  </si>
  <si>
    <t># Heat pumps at Cost incentive 3</t>
  </si>
  <si>
    <t>Total # Heat Pumps</t>
  </si>
  <si>
    <t>Funding Allocation</t>
  </si>
  <si>
    <t>Funding Allocation %</t>
  </si>
  <si>
    <t>GHG (MTCO2e) 20 years</t>
  </si>
  <si>
    <t>CPRG Region Totals</t>
  </si>
  <si>
    <t>Budget Region</t>
  </si>
  <si>
    <t>Inputs:</t>
  </si>
  <si>
    <t>Heat Pump Install Cost:</t>
  </si>
  <si>
    <t>Southeast (SE)</t>
  </si>
  <si>
    <t>Cost Incentive 1 (% funded by CPRG)</t>
  </si>
  <si>
    <t>Southcentral (SC)</t>
  </si>
  <si>
    <t>Cost Incentive 2 (% funded by CPRG)</t>
  </si>
  <si>
    <t>Cost Incentive 3 (% funded by CPRG)</t>
  </si>
  <si>
    <t>Allocation % for Cost Incentive 1</t>
  </si>
  <si>
    <t>Allocation % for Cost Incentive 2</t>
  </si>
  <si>
    <t>Allocation % for Cost Incentive 3</t>
  </si>
  <si>
    <t>Total Cost of Heat Pump incentives</t>
  </si>
  <si>
    <t>Heat pump yearly install target breakdown</t>
  </si>
  <si>
    <t>Calculations</t>
  </si>
  <si>
    <t>% of BP total:</t>
  </si>
  <si>
    <t>2030 Totals</t>
  </si>
  <si>
    <t>Total CPRG program funding</t>
  </si>
  <si>
    <t>Year 1</t>
  </si>
  <si>
    <t>Year 2</t>
  </si>
  <si>
    <t>Year 3</t>
  </si>
  <si>
    <t>Year 4</t>
  </si>
  <si>
    <t>Year 5</t>
  </si>
  <si>
    <t>Average annual GHG Emission Reduction per heat pump</t>
  </si>
  <si>
    <t>JUNEAU</t>
  </si>
  <si>
    <t>Total # of Heat Pumps:</t>
  </si>
  <si>
    <t>Total GHG Emission Reduction (MTCO2e) 2025-2030</t>
  </si>
  <si>
    <t>Total GHG Emission Reduction (MTCO2e) 2025-2050</t>
  </si>
  <si>
    <t>Cost effectiveness ($/MTCO2e)</t>
  </si>
  <si>
    <t>Total Installed</t>
  </si>
  <si>
    <t>GHG emissions reduction MTCO2e</t>
  </si>
  <si>
    <t>Community Breakdown Sheet Documentation</t>
  </si>
  <si>
    <t>The name of the community.</t>
  </si>
  <si>
    <t>The Census area the community is within.</t>
  </si>
  <si>
    <t>The subregion the community is within based on its heat pump adoption potential.</t>
  </si>
  <si>
    <t>Specific to the community from AKWarm Data</t>
  </si>
  <si>
    <t>From Census Data</t>
  </si>
  <si>
    <t>Community population divided by total region.</t>
  </si>
  <si>
    <t>Specific to the community from Census Data</t>
  </si>
  <si>
    <t>Pulled from Region sheet based on the community's Census area.</t>
  </si>
  <si>
    <t>The average of %Built before 1980 and %Classified as Drafty</t>
  </si>
  <si>
    <t>1 minus the % Low Energy Efficient Homes</t>
  </si>
  <si>
    <t>Pulled from Region sheet based on the community’s Census area.</t>
  </si>
  <si>
    <t>Product of % Homes Fossil Fuel Heat and Occupied Housing Units</t>
  </si>
  <si>
    <t>Specific to the community from AHPC first run</t>
  </si>
  <si>
    <t>Specific to the community from AHPC second run</t>
  </si>
  <si>
    <t>Average of the two heating fuel savings numbers weighted by %Low – %High/standard Energy efficient homes.</t>
  </si>
  <si>
    <t>Product used to weight subregion averages</t>
  </si>
  <si>
    <t>Region Breakdown Sheet Documentation</t>
  </si>
  <si>
    <t>The name of the census area</t>
  </si>
  <si>
    <t>A list of the focus communities within the census area</t>
  </si>
  <si>
    <t>The sum of the focus community populations within the census area</t>
  </si>
  <si>
    <t>Specific to the census area from census data</t>
  </si>
  <si>
    <t>Subegion Breakdown Sheet Documentation</t>
  </si>
  <si>
    <t>The name of the subregion</t>
  </si>
  <si>
    <t>A list of the focus communities within the subregion</t>
  </si>
  <si>
    <t>Average of Electricity Price accross the communities within the subregion</t>
  </si>
  <si>
    <t>Average of Oil Price accross the communities within the subregion</t>
  </si>
  <si>
    <t>The sum of the focus community populations within the subregion</t>
  </si>
  <si>
    <t>The subregion population divided by the total focus area population</t>
  </si>
  <si>
    <t>The sum of the focus community housing units within the subregion</t>
  </si>
  <si>
    <t>The sum of the focus community occupied housing units within the subregion</t>
  </si>
  <si>
    <t>The sum of the focus community fossil fuel heated homes within the subregion</t>
  </si>
  <si>
    <t>The subregion number of fossil fuel heated homes divided by total fossil fuel heated homes in the focus area</t>
  </si>
  <si>
    <t>Average heating fuel savings accross the communities within the subregion weighted by the number of occupied housing units in each community</t>
  </si>
  <si>
    <t>Average GHG emission reduction accross the communities within the subregion weighted by the number of occupied housing units in each community</t>
  </si>
  <si>
    <t>The target percentage increase in heaat pump adoption based on the subregion adoption potential</t>
  </si>
  <si>
    <t>The product of the target percentage increase and the number of fossil fuel heated homes in the subregion to calculate the number of target homes in each subregion</t>
  </si>
  <si>
    <t>The product of the number of target homes and the percentage allocation planned at Incentive level 1 (100% CPRG funded) to calculate the number of target homes at this incentive level.</t>
  </si>
  <si>
    <t>The product of the number of target homes and the percentage allocation planned at Incentive level 1 (71% CPRG funded) to calculate the number of target homes at this incentive level.</t>
  </si>
  <si>
    <t>The product of the number of target homes and the percentage allocation planned at Incentive level 1 (47% CPRG funded) to calculate the number of target homes at this incentive level.</t>
  </si>
  <si>
    <t>The total number of heat pump installations targeted in each subregion (to check accuracy of allocation numbers per incentive)</t>
  </si>
  <si>
    <t>The sum of the number of target homes at each incentive level multiplied by their incentive level and estimated heat pump install cost of $8,500 to calculate the CPRG funding allocation total for each subregion.</t>
  </si>
  <si>
    <t xml:space="preserve">The subregion CPRG funding allocation divided by the total CPRG funding amount to calculate each subregions funding allocation percentage. </t>
  </si>
  <si>
    <t xml:space="preserve">The product of the target number of heat pump installations in each subregion and the weighted annual GHG emissions reduction per heat pump for each subregion, multiplied by 20 years to calculate 20 year GHG emissions reductions for each subregion. </t>
  </si>
  <si>
    <t>GHG Calculations</t>
  </si>
  <si>
    <t>The total program budget.</t>
  </si>
  <si>
    <t>The average of the subregion specific annual GHG emissions reduction per heat pump.</t>
  </si>
  <si>
    <t>The total number of heat pump installations targeted by the program.</t>
  </si>
  <si>
    <t xml:space="preserve">The sum of the annual </t>
  </si>
  <si>
    <t>The product of the total annual emissions reduction for year 2030 when all heat pumps are installed and 20 years of operation, added to the 2025-2030 GHG emission reduction total</t>
  </si>
  <si>
    <t>The total program budget divided my the total GHG emissions reduction in MTCO2e from 2025-2030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</si>
</sst>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quot;$&quot;#,##0"/>
    <numFmt numFmtId="165" formatCode="&quot;$&quot;#,##0.00"/>
    <numFmt numFmtId="166" formatCode="0.0%"/>
    <numFmt numFmtId="167" formatCode="0.0"/>
    <numFmt numFmtId="168" formatCode="#,##0.0"/>
    <numFmt numFmtId="169" formatCode="#,##0.0000000"/>
  </numFmts>
  <fonts count="27">
    <font>
      <sz val="11"/>
      <color theme="1"/>
      <name val="Calibri"/>
      <scheme val="minor"/>
    </font>
    <font>
      <u/>
      <sz val="11"/>
      <color rgb="FF0000FF"/>
      <name val="Calibri"/>
      <family val="2"/>
    </font>
    <font>
      <sz val="11"/>
      <name val="Calibri"/>
      <family val="2"/>
    </font>
    <font>
      <u/>
      <sz val="11"/>
      <color rgb="FF0000FF"/>
      <name val="Calibri"/>
      <family val="2"/>
      <scheme val="minor"/>
    </font>
    <font>
      <b/>
      <sz val="11"/>
      <color theme="1"/>
      <name val="Calibri"/>
      <family val="2"/>
    </font>
    <font>
      <b/>
      <u/>
      <sz val="11"/>
      <color rgb="FF0000FF"/>
      <name val="Calibri"/>
      <family val="2"/>
    </font>
    <font>
      <b/>
      <u/>
      <sz val="11"/>
      <color rgb="FF0000FF"/>
      <name val="Calibri"/>
      <family val="2"/>
    </font>
    <font>
      <b/>
      <u/>
      <sz val="11"/>
      <color rgb="FF0000FF"/>
      <name val="Calibri"/>
      <family val="2"/>
    </font>
    <font>
      <sz val="11"/>
      <color theme="1"/>
      <name val="Calibri"/>
      <family val="2"/>
      <scheme val="minor"/>
    </font>
    <font>
      <sz val="11"/>
      <color theme="1"/>
      <name val="Calibri"/>
      <family val="2"/>
    </font>
    <font>
      <sz val="9"/>
      <color rgb="FF000000"/>
      <name val="&quot;Google Sans Mono&quot;"/>
    </font>
    <font>
      <b/>
      <u/>
      <sz val="11"/>
      <color rgb="FF0000FF"/>
      <name val="Calibri"/>
      <family val="2"/>
    </font>
    <font>
      <b/>
      <u/>
      <sz val="11"/>
      <color rgb="FF0000FF"/>
      <name val="Calibri"/>
      <family val="2"/>
    </font>
    <font>
      <b/>
      <sz val="11"/>
      <color theme="1"/>
      <name val="Calibri"/>
      <family val="2"/>
      <scheme val="minor"/>
    </font>
    <font>
      <b/>
      <u/>
      <sz val="11"/>
      <color rgb="FF0000FF"/>
      <name val="Calibri"/>
      <family val="2"/>
    </font>
    <font>
      <b/>
      <u/>
      <sz val="11"/>
      <color rgb="FF0000FF"/>
      <name val="Calibri"/>
      <family val="2"/>
    </font>
    <font>
      <b/>
      <sz val="11"/>
      <color rgb="FFFFFFFF"/>
      <name val="Calibri"/>
      <family val="2"/>
    </font>
    <font>
      <sz val="11"/>
      <color rgb="FF000000"/>
      <name val="Calibri"/>
      <family val="2"/>
      <scheme val="minor"/>
    </font>
    <font>
      <b/>
      <sz val="11"/>
      <color rgb="FF000000"/>
      <name val="Calibri"/>
      <family val="2"/>
      <scheme val="minor"/>
    </font>
    <font>
      <b/>
      <sz val="11"/>
      <color rgb="FFFFFFFF"/>
      <name val="Calibri"/>
      <family val="2"/>
      <scheme val="minor"/>
    </font>
    <font>
      <sz val="11"/>
      <color rgb="FF1F1F1F"/>
      <name val="&quot;Google Sans&quot;"/>
    </font>
    <font>
      <sz val="11"/>
      <color rgb="FF000000"/>
      <name val="Calibri"/>
      <family val="2"/>
    </font>
    <font>
      <b/>
      <u/>
      <sz val="11"/>
      <color rgb="FF0000FF"/>
      <name val="Calibri"/>
      <family val="2"/>
    </font>
    <font>
      <b/>
      <u/>
      <sz val="11"/>
      <color rgb="FF0000FF"/>
      <name val="Calibri"/>
      <family val="2"/>
    </font>
    <font>
      <b/>
      <u/>
      <sz val="11"/>
      <color rgb="FF0000FF"/>
      <name val="Calibri"/>
      <family val="2"/>
    </font>
    <font>
      <b/>
      <u/>
      <sz val="11"/>
      <color rgb="FF0000FF"/>
      <name val="Calibri"/>
      <family val="2"/>
    </font>
    <font>
      <sz val="11"/>
      <color rgb="FF000000"/>
      <name val="Calibri"/>
      <family val="2"/>
    </font>
  </fonts>
  <fills count="19">
    <fill>
      <patternFill patternType="none"/>
    </fill>
    <fill>
      <patternFill patternType="gray125"/>
    </fill>
    <fill>
      <patternFill patternType="solid">
        <fgColor rgb="FFD9D2E9"/>
        <bgColor rgb="FFD9D2E9"/>
      </patternFill>
    </fill>
    <fill>
      <patternFill patternType="solid">
        <fgColor rgb="FFFCE5CD"/>
        <bgColor rgb="FFFCE5CD"/>
      </patternFill>
    </fill>
    <fill>
      <patternFill patternType="solid">
        <fgColor rgb="FFFFFFFF"/>
        <bgColor rgb="FFFFFFFF"/>
      </patternFill>
    </fill>
    <fill>
      <patternFill patternType="solid">
        <fgColor rgb="FFCFE2F3"/>
        <bgColor rgb="FFCFE2F3"/>
      </patternFill>
    </fill>
    <fill>
      <patternFill patternType="solid">
        <fgColor rgb="FFE6B8AF"/>
        <bgColor rgb="FFE6B8AF"/>
      </patternFill>
    </fill>
    <fill>
      <patternFill patternType="solid">
        <fgColor rgb="FFFFE599"/>
        <bgColor rgb="FFFFE599"/>
      </patternFill>
    </fill>
    <fill>
      <patternFill patternType="solid">
        <fgColor rgb="FFC9DAF8"/>
        <bgColor rgb="FFC9DAF8"/>
      </patternFill>
    </fill>
    <fill>
      <patternFill patternType="solid">
        <fgColor theme="9"/>
        <bgColor theme="9"/>
      </patternFill>
    </fill>
    <fill>
      <patternFill patternType="solid">
        <fgColor theme="8"/>
        <bgColor theme="8"/>
      </patternFill>
    </fill>
    <fill>
      <patternFill patternType="solid">
        <fgColor rgb="FFD0E0E3"/>
        <bgColor rgb="FFD0E0E3"/>
      </patternFill>
    </fill>
    <fill>
      <patternFill patternType="solid">
        <fgColor rgb="FFFFD966"/>
        <bgColor rgb="FFFFD966"/>
      </patternFill>
    </fill>
    <fill>
      <patternFill patternType="solid">
        <fgColor rgb="FFF3F3F3"/>
        <bgColor rgb="FFF3F3F3"/>
      </patternFill>
    </fill>
    <fill>
      <patternFill patternType="solid">
        <fgColor rgb="FF93C47D"/>
        <bgColor rgb="FF93C47D"/>
      </patternFill>
    </fill>
    <fill>
      <patternFill patternType="solid">
        <fgColor rgb="FFD9EAD3"/>
        <bgColor rgb="FFD9EAD3"/>
      </patternFill>
    </fill>
    <fill>
      <patternFill patternType="solid">
        <fgColor rgb="FF4A86E8"/>
        <bgColor rgb="FF4A86E8"/>
      </patternFill>
    </fill>
    <fill>
      <patternFill patternType="solid">
        <fgColor rgb="FF6AA84F"/>
        <bgColor rgb="FF6AA84F"/>
      </patternFill>
    </fill>
    <fill>
      <patternFill patternType="solid">
        <fgColor rgb="FFE69138"/>
        <bgColor rgb="FFE69138"/>
      </patternFill>
    </fill>
  </fills>
  <borders count="1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dotted">
        <color rgb="FF000000"/>
      </left>
      <right style="dotted">
        <color rgb="FF000000"/>
      </right>
      <top/>
      <bottom/>
      <diagonal/>
    </border>
  </borders>
  <cellStyleXfs count="1">
    <xf numFmtId="0" fontId="0" fillId="0" borderId="0"/>
  </cellStyleXfs>
  <cellXfs count="246">
    <xf numFmtId="0" fontId="0" fillId="0" borderId="0" xfId="0"/>
    <xf numFmtId="0" fontId="3" fillId="0" borderId="0" xfId="0" applyFont="1" applyAlignment="1">
      <alignment horizontal="center"/>
    </xf>
    <xf numFmtId="0" fontId="4" fillId="0" borderId="0" xfId="0" applyFont="1" applyAlignment="1">
      <alignment horizontal="center"/>
    </xf>
    <xf numFmtId="0" fontId="4" fillId="0" borderId="0" xfId="0" applyFont="1" applyAlignment="1">
      <alignment horizontal="center" textRotation="90" wrapText="1"/>
    </xf>
    <xf numFmtId="0" fontId="4" fillId="0" borderId="4" xfId="0" applyFont="1" applyBorder="1" applyAlignment="1">
      <alignment horizontal="center" textRotation="90" wrapText="1"/>
    </xf>
    <xf numFmtId="0" fontId="4" fillId="0" borderId="2" xfId="0" applyFont="1" applyBorder="1" applyAlignment="1">
      <alignment horizontal="center"/>
    </xf>
    <xf numFmtId="0" fontId="4" fillId="0" borderId="3" xfId="0" applyFont="1" applyBorder="1" applyAlignment="1">
      <alignment horizontal="center"/>
    </xf>
    <xf numFmtId="0" fontId="4" fillId="4" borderId="7" xfId="0" applyFont="1" applyFill="1" applyBorder="1" applyAlignment="1">
      <alignment textRotation="90" wrapText="1"/>
    </xf>
    <xf numFmtId="0" fontId="4" fillId="4" borderId="8" xfId="0" applyFont="1" applyFill="1" applyBorder="1" applyAlignment="1">
      <alignment textRotation="90" wrapText="1"/>
    </xf>
    <xf numFmtId="0" fontId="4" fillId="0" borderId="2" xfId="0" applyFont="1" applyBorder="1" applyAlignment="1">
      <alignment horizontal="center" textRotation="90" wrapText="1"/>
    </xf>
    <xf numFmtId="0" fontId="5" fillId="0" borderId="1" xfId="0" applyFont="1" applyBorder="1" applyAlignment="1">
      <alignment horizontal="center" textRotation="90" wrapText="1"/>
    </xf>
    <xf numFmtId="0" fontId="4" fillId="0" borderId="9" xfId="0" applyFont="1" applyBorder="1" applyAlignment="1">
      <alignment horizontal="center" textRotation="90" wrapText="1"/>
    </xf>
    <xf numFmtId="0" fontId="6" fillId="3" borderId="5" xfId="0" applyFont="1" applyFill="1" applyBorder="1" applyAlignment="1">
      <alignment horizontal="center" textRotation="90" wrapText="1"/>
    </xf>
    <xf numFmtId="0" fontId="7" fillId="3" borderId="4" xfId="0" applyFont="1" applyFill="1" applyBorder="1" applyAlignment="1">
      <alignment horizontal="center" textRotation="90" wrapText="1"/>
    </xf>
    <xf numFmtId="0" fontId="4" fillId="3" borderId="4" xfId="0" applyFont="1" applyFill="1" applyBorder="1" applyAlignment="1">
      <alignment horizontal="center" textRotation="90" wrapText="1"/>
    </xf>
    <xf numFmtId="0" fontId="4" fillId="3" borderId="6" xfId="0" applyFont="1" applyFill="1" applyBorder="1" applyAlignment="1">
      <alignment horizontal="center" textRotation="90" wrapText="1"/>
    </xf>
    <xf numFmtId="0" fontId="4" fillId="2" borderId="2" xfId="0" applyFont="1" applyFill="1" applyBorder="1" applyAlignment="1">
      <alignment horizontal="center" textRotation="90" wrapText="1"/>
    </xf>
    <xf numFmtId="0" fontId="4" fillId="2" borderId="3" xfId="0" applyFont="1" applyFill="1" applyBorder="1" applyAlignment="1">
      <alignment horizontal="center" textRotation="90" wrapText="1"/>
    </xf>
    <xf numFmtId="0" fontId="4" fillId="2" borderId="5" xfId="0" applyFont="1" applyFill="1" applyBorder="1" applyAlignment="1">
      <alignment horizontal="center" textRotation="90" wrapText="1"/>
    </xf>
    <xf numFmtId="0" fontId="4" fillId="2" borderId="4" xfId="0" applyFont="1" applyFill="1" applyBorder="1" applyAlignment="1">
      <alignment horizontal="center" textRotation="90" wrapText="1"/>
    </xf>
    <xf numFmtId="0" fontId="4" fillId="2" borderId="6" xfId="0" applyFont="1" applyFill="1" applyBorder="1" applyAlignment="1">
      <alignment horizontal="center" textRotation="90" wrapText="1"/>
    </xf>
    <xf numFmtId="0" fontId="4" fillId="5" borderId="5" xfId="0" applyFont="1" applyFill="1" applyBorder="1" applyAlignment="1">
      <alignment horizontal="center" textRotation="90" wrapText="1"/>
    </xf>
    <xf numFmtId="0" fontId="4" fillId="5" borderId="6" xfId="0" applyFont="1" applyFill="1" applyBorder="1" applyAlignment="1">
      <alignment horizontal="center" textRotation="90" wrapText="1"/>
    </xf>
    <xf numFmtId="0" fontId="8" fillId="0" borderId="5" xfId="0" applyFont="1" applyBorder="1"/>
    <xf numFmtId="0" fontId="8" fillId="0" borderId="6" xfId="0" applyFont="1" applyBorder="1"/>
    <xf numFmtId="0" fontId="8" fillId="0" borderId="4" xfId="0" applyFont="1" applyBorder="1"/>
    <xf numFmtId="9" fontId="8" fillId="0" borderId="5" xfId="0" applyNumberFormat="1" applyFont="1" applyBorder="1"/>
    <xf numFmtId="9" fontId="8" fillId="0" borderId="0" xfId="0" applyNumberFormat="1" applyFont="1"/>
    <xf numFmtId="4" fontId="9" fillId="0" borderId="4" xfId="0" applyNumberFormat="1" applyFont="1" applyBorder="1" applyAlignment="1">
      <alignment horizontal="right"/>
    </xf>
    <xf numFmtId="4" fontId="8" fillId="0" borderId="4" xfId="0" applyNumberFormat="1" applyFont="1" applyBorder="1"/>
    <xf numFmtId="4" fontId="9" fillId="0" borderId="4" xfId="0" applyNumberFormat="1" applyFont="1" applyBorder="1"/>
    <xf numFmtId="10" fontId="8" fillId="0" borderId="4" xfId="0" applyNumberFormat="1" applyFont="1" applyBorder="1"/>
    <xf numFmtId="9" fontId="8" fillId="0" borderId="4" xfId="0" applyNumberFormat="1" applyFont="1" applyBorder="1"/>
    <xf numFmtId="4" fontId="8" fillId="0" borderId="5" xfId="0" applyNumberFormat="1" applyFont="1" applyBorder="1"/>
    <xf numFmtId="9" fontId="10" fillId="4" borderId="4" xfId="0" applyNumberFormat="1" applyFont="1" applyFill="1" applyBorder="1"/>
    <xf numFmtId="3" fontId="10" fillId="4" borderId="4" xfId="0" applyNumberFormat="1" applyFont="1" applyFill="1" applyBorder="1"/>
    <xf numFmtId="3" fontId="8" fillId="0" borderId="6" xfId="0" applyNumberFormat="1" applyFont="1" applyBorder="1"/>
    <xf numFmtId="4" fontId="8" fillId="0" borderId="6" xfId="0" applyNumberFormat="1" applyFont="1" applyBorder="1"/>
    <xf numFmtId="4" fontId="8" fillId="0" borderId="10" xfId="0" applyNumberFormat="1" applyFont="1" applyBorder="1"/>
    <xf numFmtId="4" fontId="8" fillId="0" borderId="11" xfId="0" applyNumberFormat="1" applyFont="1" applyBorder="1"/>
    <xf numFmtId="4" fontId="8" fillId="0" borderId="0" xfId="0" applyNumberFormat="1" applyFont="1"/>
    <xf numFmtId="0" fontId="8" fillId="0" borderId="10" xfId="0" applyFont="1" applyBorder="1"/>
    <xf numFmtId="0" fontId="8" fillId="0" borderId="11" xfId="0" applyFont="1" applyBorder="1"/>
    <xf numFmtId="0" fontId="8" fillId="0" borderId="0" xfId="0" applyFont="1"/>
    <xf numFmtId="9" fontId="8" fillId="0" borderId="10" xfId="0" applyNumberFormat="1" applyFont="1" applyBorder="1"/>
    <xf numFmtId="4" fontId="9" fillId="0" borderId="0" xfId="0" applyNumberFormat="1" applyFont="1" applyAlignment="1">
      <alignment horizontal="right"/>
    </xf>
    <xf numFmtId="10" fontId="8" fillId="0" borderId="0" xfId="0" applyNumberFormat="1" applyFont="1"/>
    <xf numFmtId="9" fontId="10" fillId="4" borderId="0" xfId="0" applyNumberFormat="1" applyFont="1" applyFill="1"/>
    <xf numFmtId="3" fontId="10" fillId="4" borderId="0" xfId="0" applyNumberFormat="1" applyFont="1" applyFill="1"/>
    <xf numFmtId="3" fontId="8" fillId="0" borderId="11" xfId="0" applyNumberFormat="1" applyFont="1" applyBorder="1"/>
    <xf numFmtId="4" fontId="9" fillId="0" borderId="0" xfId="0" applyNumberFormat="1" applyFont="1"/>
    <xf numFmtId="2" fontId="8" fillId="0" borderId="0" xfId="0" applyNumberFormat="1" applyFont="1"/>
    <xf numFmtId="2" fontId="8" fillId="0" borderId="10" xfId="0" applyNumberFormat="1" applyFont="1" applyBorder="1"/>
    <xf numFmtId="2" fontId="8" fillId="0" borderId="11" xfId="0" applyNumberFormat="1" applyFont="1" applyBorder="1"/>
    <xf numFmtId="3" fontId="8" fillId="0" borderId="0" xfId="0" applyNumberFormat="1" applyFont="1"/>
    <xf numFmtId="0" fontId="8" fillId="6" borderId="10" xfId="0" applyFont="1" applyFill="1" applyBorder="1"/>
    <xf numFmtId="0" fontId="8" fillId="6" borderId="12" xfId="0" applyFont="1" applyFill="1" applyBorder="1"/>
    <xf numFmtId="0" fontId="8" fillId="0" borderId="13" xfId="0" applyFont="1" applyBorder="1"/>
    <xf numFmtId="0" fontId="8" fillId="0" borderId="14" xfId="0" applyFont="1" applyBorder="1"/>
    <xf numFmtId="0" fontId="8" fillId="0" borderId="12" xfId="0" applyFont="1" applyBorder="1"/>
    <xf numFmtId="9" fontId="8" fillId="0" borderId="12" xfId="0" applyNumberFormat="1" applyFont="1" applyBorder="1"/>
    <xf numFmtId="9" fontId="8" fillId="0" borderId="14" xfId="0" applyNumberFormat="1" applyFont="1" applyBorder="1"/>
    <xf numFmtId="4" fontId="8" fillId="0" borderId="14" xfId="0" applyNumberFormat="1" applyFont="1" applyBorder="1"/>
    <xf numFmtId="10" fontId="8" fillId="0" borderId="14" xfId="0" applyNumberFormat="1" applyFont="1" applyBorder="1"/>
    <xf numFmtId="4" fontId="8" fillId="0" borderId="12" xfId="0" applyNumberFormat="1" applyFont="1" applyBorder="1"/>
    <xf numFmtId="9" fontId="10" fillId="4" borderId="14" xfId="0" applyNumberFormat="1" applyFont="1" applyFill="1" applyBorder="1"/>
    <xf numFmtId="3" fontId="10" fillId="4" borderId="14" xfId="0" applyNumberFormat="1" applyFont="1" applyFill="1" applyBorder="1"/>
    <xf numFmtId="3" fontId="8" fillId="0" borderId="13" xfId="0" applyNumberFormat="1" applyFont="1" applyBorder="1"/>
    <xf numFmtId="164" fontId="8" fillId="0" borderId="14" xfId="0" applyNumberFormat="1" applyFont="1" applyBorder="1"/>
    <xf numFmtId="3" fontId="8" fillId="0" borderId="14" xfId="0" applyNumberFormat="1" applyFont="1" applyBorder="1"/>
    <xf numFmtId="4" fontId="8" fillId="0" borderId="13" xfId="0" applyNumberFormat="1" applyFont="1" applyBorder="1"/>
    <xf numFmtId="10" fontId="10" fillId="4" borderId="0" xfId="0" applyNumberFormat="1" applyFont="1" applyFill="1"/>
    <xf numFmtId="0" fontId="10" fillId="4" borderId="0" xfId="0" applyFont="1" applyFill="1"/>
    <xf numFmtId="0" fontId="4" fillId="0" borderId="0" xfId="0" applyFont="1" applyAlignment="1">
      <alignment wrapText="1"/>
    </xf>
    <xf numFmtId="0" fontId="4" fillId="7" borderId="7" xfId="0" applyFont="1" applyFill="1" applyBorder="1" applyAlignment="1">
      <alignment textRotation="90" wrapText="1"/>
    </xf>
    <xf numFmtId="0" fontId="4" fillId="7" borderId="8" xfId="0" applyFont="1" applyFill="1" applyBorder="1" applyAlignment="1">
      <alignment textRotation="90" wrapText="1"/>
    </xf>
    <xf numFmtId="0" fontId="4" fillId="0" borderId="5" xfId="0" applyFont="1" applyBorder="1" applyAlignment="1">
      <alignment horizontal="center" textRotation="90" wrapText="1"/>
    </xf>
    <xf numFmtId="0" fontId="11" fillId="0" borderId="4" xfId="0" applyFont="1" applyBorder="1" applyAlignment="1">
      <alignment horizontal="center" textRotation="90" wrapText="1"/>
    </xf>
    <xf numFmtId="0" fontId="12" fillId="0" borderId="0" xfId="0" applyFont="1" applyAlignment="1">
      <alignment horizontal="center" textRotation="90" wrapText="1"/>
    </xf>
    <xf numFmtId="0" fontId="4" fillId="0" borderId="11" xfId="0" applyFont="1" applyBorder="1" applyAlignment="1">
      <alignment horizontal="center" textRotation="90" wrapText="1"/>
    </xf>
    <xf numFmtId="0" fontId="8" fillId="0" borderId="15" xfId="0" applyFont="1" applyBorder="1"/>
    <xf numFmtId="0" fontId="8" fillId="0" borderId="15" xfId="0" applyFont="1" applyBorder="1" applyAlignment="1">
      <alignment wrapText="1"/>
    </xf>
    <xf numFmtId="4" fontId="8" fillId="0" borderId="15" xfId="0" applyNumberFormat="1" applyFont="1" applyBorder="1"/>
    <xf numFmtId="10" fontId="9" fillId="0" borderId="4" xfId="0" applyNumberFormat="1" applyFont="1" applyBorder="1"/>
    <xf numFmtId="4" fontId="9" fillId="0" borderId="5" xfId="0" applyNumberFormat="1" applyFont="1" applyBorder="1"/>
    <xf numFmtId="3" fontId="9" fillId="0" borderId="4" xfId="0" applyNumberFormat="1" applyFont="1" applyBorder="1"/>
    <xf numFmtId="9" fontId="9" fillId="0" borderId="4" xfId="0" applyNumberFormat="1" applyFont="1" applyBorder="1"/>
    <xf numFmtId="9" fontId="9" fillId="0" borderId="6" xfId="0" applyNumberFormat="1" applyFont="1" applyBorder="1"/>
    <xf numFmtId="0" fontId="8" fillId="0" borderId="16" xfId="0" applyFont="1" applyBorder="1"/>
    <xf numFmtId="0" fontId="8" fillId="0" borderId="16" xfId="0" applyFont="1" applyBorder="1" applyAlignment="1">
      <alignment wrapText="1"/>
    </xf>
    <xf numFmtId="4" fontId="8" fillId="0" borderId="16" xfId="0" applyNumberFormat="1" applyFont="1" applyBorder="1"/>
    <xf numFmtId="9" fontId="9" fillId="0" borderId="0" xfId="0" applyNumberFormat="1" applyFont="1"/>
    <xf numFmtId="3" fontId="9" fillId="0" borderId="0" xfId="0" applyNumberFormat="1" applyFont="1"/>
    <xf numFmtId="9" fontId="9" fillId="0" borderId="11" xfId="0" applyNumberFormat="1" applyFont="1" applyBorder="1"/>
    <xf numFmtId="10" fontId="9" fillId="0" borderId="0" xfId="0" applyNumberFormat="1" applyFont="1"/>
    <xf numFmtId="4" fontId="9" fillId="0" borderId="10" xfId="0" applyNumberFormat="1" applyFont="1" applyBorder="1"/>
    <xf numFmtId="0" fontId="8" fillId="0" borderId="17" xfId="0" applyFont="1" applyBorder="1"/>
    <xf numFmtId="0" fontId="8" fillId="0" borderId="17" xfId="0" applyFont="1" applyBorder="1" applyAlignment="1">
      <alignment wrapText="1"/>
    </xf>
    <xf numFmtId="4" fontId="8" fillId="0" borderId="17" xfId="0" applyNumberFormat="1" applyFont="1" applyBorder="1"/>
    <xf numFmtId="10" fontId="9" fillId="0" borderId="14" xfId="0" applyNumberFormat="1" applyFont="1" applyBorder="1"/>
    <xf numFmtId="4" fontId="9" fillId="0" borderId="12" xfId="0" applyNumberFormat="1" applyFont="1" applyBorder="1"/>
    <xf numFmtId="3" fontId="9" fillId="0" borderId="14" xfId="0" applyNumberFormat="1" applyFont="1" applyBorder="1"/>
    <xf numFmtId="4" fontId="9" fillId="0" borderId="14" xfId="0" applyNumberFormat="1" applyFont="1" applyBorder="1"/>
    <xf numFmtId="9" fontId="9" fillId="0" borderId="14" xfId="0" applyNumberFormat="1" applyFont="1" applyBorder="1"/>
    <xf numFmtId="9" fontId="9" fillId="0" borderId="13" xfId="0" applyNumberFormat="1" applyFont="1" applyBorder="1"/>
    <xf numFmtId="0" fontId="13" fillId="4" borderId="0" xfId="0" applyFont="1" applyFill="1"/>
    <xf numFmtId="9" fontId="9" fillId="4" borderId="0" xfId="0" applyNumberFormat="1" applyFont="1" applyFill="1"/>
    <xf numFmtId="2" fontId="9" fillId="0" borderId="0" xfId="0" applyNumberFormat="1" applyFont="1"/>
    <xf numFmtId="0" fontId="4" fillId="0" borderId="9" xfId="0" applyFont="1" applyBorder="1" applyAlignment="1">
      <alignment vertical="center" wrapText="1"/>
    </xf>
    <xf numFmtId="0" fontId="4" fillId="0" borderId="2" xfId="0" applyFont="1" applyBorder="1" applyAlignment="1">
      <alignment vertical="center" wrapText="1"/>
    </xf>
    <xf numFmtId="0" fontId="4" fillId="7" borderId="7" xfId="0" applyFont="1" applyFill="1" applyBorder="1" applyAlignment="1">
      <alignment vertical="center" textRotation="90" wrapText="1"/>
    </xf>
    <xf numFmtId="0" fontId="4" fillId="7" borderId="8" xfId="0" applyFont="1" applyFill="1" applyBorder="1" applyAlignment="1">
      <alignment vertical="center" textRotation="90" wrapText="1"/>
    </xf>
    <xf numFmtId="0" fontId="4" fillId="4" borderId="2" xfId="0" applyFont="1" applyFill="1" applyBorder="1" applyAlignment="1">
      <alignment horizontal="center" vertical="center" textRotation="90" wrapText="1"/>
    </xf>
    <xf numFmtId="0" fontId="4" fillId="4" borderId="3" xfId="0" applyFont="1" applyFill="1" applyBorder="1" applyAlignment="1">
      <alignment horizontal="center" vertical="center" textRotation="90" wrapText="1"/>
    </xf>
    <xf numFmtId="0" fontId="14" fillId="4" borderId="1" xfId="0" applyFont="1" applyFill="1" applyBorder="1" applyAlignment="1">
      <alignment horizontal="center" vertical="center" textRotation="90" wrapText="1"/>
    </xf>
    <xf numFmtId="0" fontId="15" fillId="4" borderId="2" xfId="0" applyFont="1" applyFill="1" applyBorder="1" applyAlignment="1">
      <alignment horizontal="center" vertical="center" textRotation="90" wrapText="1"/>
    </xf>
    <xf numFmtId="0" fontId="4" fillId="8" borderId="2" xfId="0" applyFont="1" applyFill="1" applyBorder="1" applyAlignment="1">
      <alignment horizontal="center" vertical="center" textRotation="90" wrapText="1"/>
    </xf>
    <xf numFmtId="0" fontId="16" fillId="9" borderId="2" xfId="0" applyFont="1" applyFill="1" applyBorder="1" applyAlignment="1">
      <alignment horizontal="center" vertical="center" textRotation="90" wrapText="1"/>
    </xf>
    <xf numFmtId="0" fontId="16" fillId="10" borderId="2" xfId="0" applyFont="1" applyFill="1" applyBorder="1" applyAlignment="1">
      <alignment horizontal="center" vertical="center" textRotation="90" wrapText="1"/>
    </xf>
    <xf numFmtId="0" fontId="16" fillId="10" borderId="6" xfId="0" applyFont="1" applyFill="1" applyBorder="1" applyAlignment="1">
      <alignment horizontal="center" vertical="center" textRotation="90" wrapText="1"/>
    </xf>
    <xf numFmtId="0" fontId="4" fillId="4" borderId="10" xfId="0" applyFont="1" applyFill="1" applyBorder="1" applyAlignment="1">
      <alignment horizontal="center" vertical="center" textRotation="90" wrapText="1"/>
    </xf>
    <xf numFmtId="0" fontId="4" fillId="4" borderId="0" xfId="0" applyFont="1" applyFill="1" applyAlignment="1">
      <alignment horizontal="center" vertical="center" textRotation="90" wrapText="1"/>
    </xf>
    <xf numFmtId="0" fontId="13" fillId="0" borderId="15" xfId="0" applyFont="1" applyBorder="1"/>
    <xf numFmtId="0" fontId="8" fillId="0" borderId="5" xfId="0" applyFont="1" applyBorder="1" applyAlignment="1">
      <alignment wrapText="1"/>
    </xf>
    <xf numFmtId="165" fontId="8" fillId="0" borderId="4" xfId="0" applyNumberFormat="1" applyFont="1" applyBorder="1"/>
    <xf numFmtId="3" fontId="8" fillId="0" borderId="4" xfId="0" applyNumberFormat="1" applyFont="1" applyBorder="1"/>
    <xf numFmtId="3" fontId="8" fillId="0" borderId="5" xfId="0" applyNumberFormat="1" applyFont="1" applyBorder="1"/>
    <xf numFmtId="166" fontId="8" fillId="0" borderId="4" xfId="0" applyNumberFormat="1" applyFont="1" applyBorder="1"/>
    <xf numFmtId="167" fontId="8" fillId="0" borderId="4" xfId="0" applyNumberFormat="1" applyFont="1" applyBorder="1"/>
    <xf numFmtId="9" fontId="17" fillId="3" borderId="5" xfId="0" applyNumberFormat="1" applyFont="1" applyFill="1" applyBorder="1" applyAlignment="1">
      <alignment horizontal="center" vertical="center"/>
    </xf>
    <xf numFmtId="3" fontId="17" fillId="3" borderId="4" xfId="0" applyNumberFormat="1" applyFont="1" applyFill="1" applyBorder="1" applyAlignment="1">
      <alignment horizontal="center" vertical="center"/>
    </xf>
    <xf numFmtId="3" fontId="17" fillId="11" borderId="4" xfId="0" applyNumberFormat="1" applyFont="1" applyFill="1" applyBorder="1" applyAlignment="1">
      <alignment horizontal="center" vertical="center"/>
    </xf>
    <xf numFmtId="165" fontId="17" fillId="11" borderId="4" xfId="0" applyNumberFormat="1" applyFont="1" applyFill="1" applyBorder="1" applyAlignment="1">
      <alignment horizontal="center" vertical="center"/>
    </xf>
    <xf numFmtId="10" fontId="17" fillId="11" borderId="4" xfId="0" applyNumberFormat="1" applyFont="1" applyFill="1" applyBorder="1" applyAlignment="1">
      <alignment horizontal="center" vertical="center"/>
    </xf>
    <xf numFmtId="3" fontId="17" fillId="11" borderId="6" xfId="0" applyNumberFormat="1" applyFont="1" applyFill="1" applyBorder="1" applyAlignment="1">
      <alignment horizontal="center" vertical="center"/>
    </xf>
    <xf numFmtId="0" fontId="13" fillId="0" borderId="16" xfId="0" applyFont="1" applyBorder="1"/>
    <xf numFmtId="0" fontId="8" fillId="0" borderId="10" xfId="0" applyFont="1" applyBorder="1" applyAlignment="1">
      <alignment wrapText="1"/>
    </xf>
    <xf numFmtId="165" fontId="8" fillId="0" borderId="0" xfId="0" applyNumberFormat="1" applyFont="1"/>
    <xf numFmtId="3" fontId="8" fillId="0" borderId="10" xfId="0" applyNumberFormat="1" applyFont="1" applyBorder="1"/>
    <xf numFmtId="166" fontId="8" fillId="0" borderId="0" xfId="0" applyNumberFormat="1" applyFont="1"/>
    <xf numFmtId="167" fontId="8" fillId="0" borderId="0" xfId="0" applyNumberFormat="1" applyFont="1"/>
    <xf numFmtId="9" fontId="17" fillId="3" borderId="10" xfId="0" applyNumberFormat="1" applyFont="1" applyFill="1" applyBorder="1" applyAlignment="1">
      <alignment horizontal="center" vertical="center"/>
    </xf>
    <xf numFmtId="3" fontId="17" fillId="3" borderId="0" xfId="0" applyNumberFormat="1" applyFont="1" applyFill="1" applyAlignment="1">
      <alignment horizontal="center" vertical="center"/>
    </xf>
    <xf numFmtId="3" fontId="17" fillId="11" borderId="0" xfId="0" applyNumberFormat="1" applyFont="1" applyFill="1" applyAlignment="1">
      <alignment horizontal="center" vertical="center"/>
    </xf>
    <xf numFmtId="165" fontId="17" fillId="11" borderId="0" xfId="0" applyNumberFormat="1" applyFont="1" applyFill="1" applyAlignment="1">
      <alignment horizontal="center" vertical="center"/>
    </xf>
    <xf numFmtId="10" fontId="17" fillId="11" borderId="0" xfId="0" applyNumberFormat="1" applyFont="1" applyFill="1" applyAlignment="1">
      <alignment horizontal="center" vertical="center"/>
    </xf>
    <xf numFmtId="3" fontId="17" fillId="11" borderId="11" xfId="0" applyNumberFormat="1" applyFont="1" applyFill="1" applyBorder="1" applyAlignment="1">
      <alignment horizontal="center" vertical="center"/>
    </xf>
    <xf numFmtId="0" fontId="13" fillId="0" borderId="17" xfId="0" applyFont="1" applyBorder="1"/>
    <xf numFmtId="0" fontId="8" fillId="0" borderId="12" xfId="0" applyFont="1" applyBorder="1" applyAlignment="1">
      <alignment wrapText="1"/>
    </xf>
    <xf numFmtId="9" fontId="17" fillId="3" borderId="12" xfId="0" applyNumberFormat="1" applyFont="1" applyFill="1" applyBorder="1" applyAlignment="1">
      <alignment horizontal="center" vertical="center"/>
    </xf>
    <xf numFmtId="3" fontId="17" fillId="3" borderId="14" xfId="0" applyNumberFormat="1" applyFont="1" applyFill="1" applyBorder="1" applyAlignment="1">
      <alignment horizontal="center" vertical="center"/>
    </xf>
    <xf numFmtId="3" fontId="17" fillId="11" borderId="14" xfId="0" applyNumberFormat="1" applyFont="1" applyFill="1" applyBorder="1" applyAlignment="1">
      <alignment horizontal="center" vertical="center"/>
    </xf>
    <xf numFmtId="165" fontId="17" fillId="11" borderId="14" xfId="0" applyNumberFormat="1" applyFont="1" applyFill="1" applyBorder="1" applyAlignment="1">
      <alignment horizontal="center" vertical="center"/>
    </xf>
    <xf numFmtId="10" fontId="17" fillId="11" borderId="14" xfId="0" applyNumberFormat="1" applyFont="1" applyFill="1" applyBorder="1" applyAlignment="1">
      <alignment horizontal="center" vertical="center"/>
    </xf>
    <xf numFmtId="3" fontId="17" fillId="11" borderId="13" xfId="0" applyNumberFormat="1" applyFont="1" applyFill="1" applyBorder="1" applyAlignment="1">
      <alignment horizontal="center" vertical="center"/>
    </xf>
    <xf numFmtId="0" fontId="13" fillId="12" borderId="9" xfId="0" applyFont="1" applyFill="1" applyBorder="1"/>
    <xf numFmtId="0" fontId="13" fillId="12" borderId="1" xfId="0" applyFont="1" applyFill="1" applyBorder="1"/>
    <xf numFmtId="0" fontId="13" fillId="12" borderId="2" xfId="0" applyFont="1" applyFill="1" applyBorder="1"/>
    <xf numFmtId="3" fontId="13" fillId="12" borderId="2" xfId="0" applyNumberFormat="1" applyFont="1" applyFill="1" applyBorder="1"/>
    <xf numFmtId="10" fontId="13" fillId="12" borderId="2" xfId="0" applyNumberFormat="1" applyFont="1" applyFill="1" applyBorder="1"/>
    <xf numFmtId="10" fontId="8" fillId="12" borderId="2" xfId="0" applyNumberFormat="1" applyFont="1" applyFill="1" applyBorder="1"/>
    <xf numFmtId="168" fontId="13" fillId="12" borderId="2" xfId="0" applyNumberFormat="1" applyFont="1" applyFill="1" applyBorder="1"/>
    <xf numFmtId="169" fontId="13" fillId="12" borderId="2" xfId="0" applyNumberFormat="1" applyFont="1" applyFill="1" applyBorder="1"/>
    <xf numFmtId="9" fontId="13" fillId="12" borderId="14" xfId="0" applyNumberFormat="1" applyFont="1" applyFill="1" applyBorder="1"/>
    <xf numFmtId="3" fontId="13" fillId="12" borderId="14" xfId="0" applyNumberFormat="1" applyFont="1" applyFill="1" applyBorder="1"/>
    <xf numFmtId="3" fontId="18" fillId="12" borderId="12" xfId="0" applyNumberFormat="1" applyFont="1" applyFill="1" applyBorder="1" applyAlignment="1">
      <alignment horizontal="center" vertical="center"/>
    </xf>
    <xf numFmtId="3" fontId="18" fillId="12" borderId="14" xfId="0" applyNumberFormat="1" applyFont="1" applyFill="1" applyBorder="1" applyAlignment="1">
      <alignment horizontal="center" vertical="center"/>
    </xf>
    <xf numFmtId="3" fontId="18" fillId="12" borderId="2" xfId="0" applyNumberFormat="1" applyFont="1" applyFill="1" applyBorder="1" applyAlignment="1">
      <alignment horizontal="center" vertical="center"/>
    </xf>
    <xf numFmtId="165" fontId="18" fillId="12" borderId="12" xfId="0" applyNumberFormat="1" applyFont="1" applyFill="1" applyBorder="1" applyAlignment="1">
      <alignment horizontal="center" vertical="center"/>
    </xf>
    <xf numFmtId="3" fontId="13" fillId="12" borderId="14" xfId="0" applyNumberFormat="1" applyFont="1" applyFill="1" applyBorder="1" applyAlignment="1">
      <alignment horizontal="center" vertical="center"/>
    </xf>
    <xf numFmtId="3" fontId="13" fillId="12" borderId="13" xfId="0" applyNumberFormat="1" applyFont="1" applyFill="1" applyBorder="1" applyAlignment="1">
      <alignment horizontal="center" vertical="center"/>
    </xf>
    <xf numFmtId="0" fontId="8" fillId="13" borderId="18" xfId="0" applyFont="1" applyFill="1" applyBorder="1"/>
    <xf numFmtId="0" fontId="8" fillId="4" borderId="0" xfId="0" applyFont="1" applyFill="1"/>
    <xf numFmtId="0" fontId="19" fillId="14" borderId="1" xfId="0" applyFont="1" applyFill="1" applyBorder="1" applyAlignment="1">
      <alignment horizontal="left" wrapText="1"/>
    </xf>
    <xf numFmtId="0" fontId="19" fillId="4" borderId="0" xfId="0" applyFont="1" applyFill="1" applyAlignment="1">
      <alignment horizontal="center"/>
    </xf>
    <xf numFmtId="0" fontId="16" fillId="9" borderId="5" xfId="0" applyFont="1" applyFill="1" applyBorder="1" applyAlignment="1">
      <alignment horizontal="left" vertical="center" wrapText="1"/>
    </xf>
    <xf numFmtId="0" fontId="19" fillId="14" borderId="9" xfId="0" applyFont="1" applyFill="1" applyBorder="1" applyAlignment="1">
      <alignment horizontal="left" wrapText="1"/>
    </xf>
    <xf numFmtId="3" fontId="13" fillId="15" borderId="15" xfId="0" applyNumberFormat="1" applyFont="1" applyFill="1" applyBorder="1" applyAlignment="1">
      <alignment horizontal="left"/>
    </xf>
    <xf numFmtId="165" fontId="13" fillId="15" borderId="15" xfId="0" applyNumberFormat="1" applyFont="1" applyFill="1" applyBorder="1" applyAlignment="1">
      <alignment horizontal="left"/>
    </xf>
    <xf numFmtId="9" fontId="13" fillId="15" borderId="15" xfId="0" applyNumberFormat="1" applyFont="1" applyFill="1" applyBorder="1" applyAlignment="1">
      <alignment horizontal="left"/>
    </xf>
    <xf numFmtId="0" fontId="16" fillId="4" borderId="0" xfId="0" applyFont="1" applyFill="1" applyAlignment="1">
      <alignment horizontal="center" vertical="center" wrapText="1"/>
    </xf>
    <xf numFmtId="165" fontId="13" fillId="3" borderId="6" xfId="0" applyNumberFormat="1" applyFont="1" applyFill="1" applyBorder="1" applyAlignment="1">
      <alignment horizontal="left"/>
    </xf>
    <xf numFmtId="0" fontId="16" fillId="9" borderId="10" xfId="0" applyFont="1" applyFill="1" applyBorder="1" applyAlignment="1">
      <alignment horizontal="left" vertical="center" wrapText="1"/>
    </xf>
    <xf numFmtId="9" fontId="13" fillId="3" borderId="11" xfId="0" applyNumberFormat="1" applyFont="1" applyFill="1" applyBorder="1" applyAlignment="1">
      <alignment horizontal="left"/>
    </xf>
    <xf numFmtId="0" fontId="16" fillId="9" borderId="12" xfId="0" applyFont="1" applyFill="1" applyBorder="1" applyAlignment="1">
      <alignment horizontal="left" vertical="center" wrapText="1"/>
    </xf>
    <xf numFmtId="9" fontId="13" fillId="3" borderId="13" xfId="0" applyNumberFormat="1" applyFont="1" applyFill="1" applyBorder="1" applyAlignment="1">
      <alignment horizontal="left"/>
    </xf>
    <xf numFmtId="165" fontId="13" fillId="3" borderId="3" xfId="0" applyNumberFormat="1" applyFont="1" applyFill="1" applyBorder="1" applyAlignment="1">
      <alignment horizontal="left"/>
    </xf>
    <xf numFmtId="0" fontId="20" fillId="4" borderId="0" xfId="0" applyFont="1" applyFill="1"/>
    <xf numFmtId="166" fontId="17" fillId="3" borderId="15" xfId="0" applyNumberFormat="1" applyFont="1" applyFill="1" applyBorder="1" applyAlignment="1">
      <alignment horizontal="center" vertical="center"/>
    </xf>
    <xf numFmtId="166" fontId="17" fillId="3" borderId="16" xfId="0" applyNumberFormat="1" applyFont="1" applyFill="1" applyBorder="1" applyAlignment="1">
      <alignment horizontal="center" vertical="center"/>
    </xf>
    <xf numFmtId="0" fontId="13" fillId="15" borderId="5" xfId="0" applyFont="1" applyFill="1" applyBorder="1" applyAlignment="1">
      <alignment horizontal="left"/>
    </xf>
    <xf numFmtId="9" fontId="13" fillId="15" borderId="4" xfId="0" applyNumberFormat="1" applyFont="1" applyFill="1" applyBorder="1"/>
    <xf numFmtId="0" fontId="13" fillId="15" borderId="6" xfId="0" applyFont="1" applyFill="1" applyBorder="1"/>
    <xf numFmtId="0" fontId="19" fillId="14" borderId="5" xfId="0" applyFont="1" applyFill="1" applyBorder="1" applyAlignment="1">
      <alignment horizontal="left" wrapText="1"/>
    </xf>
    <xf numFmtId="165" fontId="13" fillId="15" borderId="6" xfId="0" applyNumberFormat="1" applyFont="1" applyFill="1" applyBorder="1" applyAlignment="1">
      <alignment horizontal="left"/>
    </xf>
    <xf numFmtId="0" fontId="13" fillId="15" borderId="10" xfId="0" applyFont="1" applyFill="1" applyBorder="1"/>
    <xf numFmtId="0" fontId="13" fillId="15" borderId="0" xfId="0" applyFont="1" applyFill="1"/>
    <xf numFmtId="0" fontId="13" fillId="15" borderId="11" xfId="0" applyFont="1" applyFill="1" applyBorder="1"/>
    <xf numFmtId="0" fontId="19" fillId="14" borderId="10" xfId="0" applyFont="1" applyFill="1" applyBorder="1" applyAlignment="1">
      <alignment horizontal="left" wrapText="1"/>
    </xf>
    <xf numFmtId="169" fontId="13" fillId="15" borderId="11" xfId="0" applyNumberFormat="1" applyFont="1" applyFill="1" applyBorder="1" applyAlignment="1">
      <alignment horizontal="left"/>
    </xf>
    <xf numFmtId="0" fontId="13" fillId="0" borderId="10" xfId="0" applyFont="1" applyBorder="1"/>
    <xf numFmtId="0" fontId="13" fillId="0" borderId="0" xfId="0" applyFont="1"/>
    <xf numFmtId="0" fontId="13" fillId="0" borderId="11" xfId="0" applyFont="1" applyBorder="1"/>
    <xf numFmtId="0" fontId="13" fillId="15" borderId="11" xfId="0" applyFont="1" applyFill="1" applyBorder="1" applyAlignment="1">
      <alignment horizontal="left"/>
    </xf>
    <xf numFmtId="164" fontId="8" fillId="0" borderId="10" xfId="0" applyNumberFormat="1" applyFont="1" applyBorder="1"/>
    <xf numFmtId="4" fontId="13" fillId="15" borderId="11" xfId="0" applyNumberFormat="1" applyFont="1" applyFill="1" applyBorder="1" applyAlignment="1">
      <alignment horizontal="left"/>
    </xf>
    <xf numFmtId="0" fontId="19" fillId="14" borderId="12" xfId="0" applyFont="1" applyFill="1" applyBorder="1" applyAlignment="1">
      <alignment horizontal="left" wrapText="1"/>
    </xf>
    <xf numFmtId="165" fontId="13" fillId="15" borderId="13" xfId="0" applyNumberFormat="1" applyFont="1" applyFill="1" applyBorder="1" applyAlignment="1">
      <alignment horizontal="left"/>
    </xf>
    <xf numFmtId="0" fontId="13" fillId="0" borderId="12" xfId="0" applyFont="1" applyBorder="1"/>
    <xf numFmtId="3" fontId="13" fillId="0" borderId="14" xfId="0" applyNumberFormat="1" applyFont="1" applyBorder="1"/>
    <xf numFmtId="3" fontId="13" fillId="0" borderId="13" xfId="0" applyNumberFormat="1" applyFont="1" applyBorder="1"/>
    <xf numFmtId="0" fontId="21" fillId="0" borderId="0" xfId="0" applyFont="1" applyAlignment="1">
      <alignment wrapText="1"/>
    </xf>
    <xf numFmtId="0" fontId="4" fillId="4" borderId="0" xfId="0" applyFont="1" applyFill="1" applyAlignment="1">
      <alignment wrapText="1"/>
    </xf>
    <xf numFmtId="0" fontId="4" fillId="0" borderId="0" xfId="0" applyFont="1" applyAlignment="1">
      <alignment horizontal="center" wrapText="1"/>
    </xf>
    <xf numFmtId="0" fontId="22" fillId="0" borderId="0" xfId="0" applyFont="1" applyAlignment="1">
      <alignment horizontal="center" wrapText="1"/>
    </xf>
    <xf numFmtId="0" fontId="23" fillId="3" borderId="0" xfId="0" applyFont="1" applyFill="1" applyAlignment="1">
      <alignment horizontal="center" wrapText="1"/>
    </xf>
    <xf numFmtId="0" fontId="4" fillId="3" borderId="0" xfId="0" applyFont="1" applyFill="1" applyAlignment="1">
      <alignment horizontal="center" wrapText="1"/>
    </xf>
    <xf numFmtId="0" fontId="4" fillId="2" borderId="0" xfId="0" applyFont="1" applyFill="1" applyAlignment="1">
      <alignment horizontal="center" wrapText="1"/>
    </xf>
    <xf numFmtId="0" fontId="4" fillId="5" borderId="0" xfId="0" applyFont="1" applyFill="1" applyAlignment="1">
      <alignment horizontal="center" wrapText="1"/>
    </xf>
    <xf numFmtId="0" fontId="8" fillId="0" borderId="0" xfId="0" applyFont="1" applyAlignment="1">
      <alignment wrapText="1"/>
    </xf>
    <xf numFmtId="0" fontId="24" fillId="0" borderId="0" xfId="0" applyFont="1" applyAlignment="1">
      <alignment horizontal="center" wrapText="1"/>
    </xf>
    <xf numFmtId="0" fontId="4" fillId="0" borderId="0" xfId="0" applyFont="1" applyAlignment="1">
      <alignment horizontal="center" vertical="center" wrapText="1"/>
    </xf>
    <xf numFmtId="0" fontId="4" fillId="4" borderId="0" xfId="0" applyFont="1" applyFill="1" applyAlignment="1">
      <alignment horizontal="center" vertical="center" wrapText="1"/>
    </xf>
    <xf numFmtId="0" fontId="25" fillId="4" borderId="0" xfId="0" applyFont="1" applyFill="1" applyAlignment="1">
      <alignment horizontal="center" vertical="center" wrapText="1"/>
    </xf>
    <xf numFmtId="0" fontId="4" fillId="8" borderId="0" xfId="0" applyFont="1" applyFill="1" applyAlignment="1">
      <alignment horizontal="center" vertical="center" wrapText="1"/>
    </xf>
    <xf numFmtId="0" fontId="16" fillId="9" borderId="0" xfId="0" applyFont="1" applyFill="1" applyAlignment="1">
      <alignment horizontal="center" vertical="center" wrapText="1"/>
    </xf>
    <xf numFmtId="0" fontId="16" fillId="10" borderId="0" xfId="0" applyFont="1" applyFill="1" applyAlignment="1">
      <alignment horizontal="center" vertical="center" wrapText="1"/>
    </xf>
    <xf numFmtId="0" fontId="26" fillId="4" borderId="0" xfId="0" applyFont="1" applyFill="1" applyAlignment="1">
      <alignment horizontal="left" wrapText="1"/>
    </xf>
    <xf numFmtId="0" fontId="19" fillId="14" borderId="0" xfId="0" applyFont="1" applyFill="1" applyAlignment="1">
      <alignment horizontal="left" wrapText="1"/>
    </xf>
    <xf numFmtId="0" fontId="1" fillId="2" borderId="1" xfId="0" applyFont="1" applyFill="1" applyBorder="1" applyAlignment="1">
      <alignment horizontal="center"/>
    </xf>
    <xf numFmtId="0" fontId="2" fillId="0" borderId="2" xfId="0" applyFont="1" applyBorder="1"/>
    <xf numFmtId="0" fontId="2" fillId="0" borderId="3" xfId="0" applyFont="1" applyBorder="1"/>
    <xf numFmtId="0" fontId="4" fillId="0" borderId="0" xfId="0" applyFont="1" applyAlignment="1">
      <alignment horizontal="center"/>
    </xf>
    <xf numFmtId="0" fontId="0" fillId="0" borderId="0" xfId="0"/>
    <xf numFmtId="0" fontId="4" fillId="0" borderId="0" xfId="0" applyFont="1" applyAlignment="1">
      <alignment horizontal="center" textRotation="90" wrapText="1"/>
    </xf>
    <xf numFmtId="0" fontId="4" fillId="0" borderId="4" xfId="0" applyFont="1" applyBorder="1" applyAlignment="1">
      <alignment horizontal="center" textRotation="90" wrapText="1"/>
    </xf>
    <xf numFmtId="0" fontId="4" fillId="3" borderId="5" xfId="0" applyFont="1" applyFill="1" applyBorder="1" applyAlignment="1">
      <alignment horizontal="center"/>
    </xf>
    <xf numFmtId="0" fontId="2" fillId="0" borderId="4" xfId="0" applyFont="1" applyBorder="1"/>
    <xf numFmtId="0" fontId="2" fillId="0" borderId="6" xfId="0" applyFont="1" applyBorder="1"/>
    <xf numFmtId="0" fontId="4" fillId="2" borderId="4" xfId="0" applyFont="1" applyFill="1" applyBorder="1" applyAlignment="1">
      <alignment horizontal="center"/>
    </xf>
    <xf numFmtId="0" fontId="4" fillId="2" borderId="5" xfId="0" applyFont="1" applyFill="1" applyBorder="1" applyAlignment="1">
      <alignment horizontal="center"/>
    </xf>
    <xf numFmtId="0" fontId="19" fillId="14" borderId="5" xfId="0" applyFont="1" applyFill="1" applyBorder="1" applyAlignment="1">
      <alignment horizontal="center" vertical="center" wrapText="1"/>
    </xf>
    <xf numFmtId="0" fontId="19" fillId="16" borderId="0" xfId="0" applyFont="1" applyFill="1" applyAlignment="1">
      <alignment horizontal="center"/>
    </xf>
    <xf numFmtId="0" fontId="19" fillId="17" borderId="0" xfId="0" applyFont="1" applyFill="1" applyAlignment="1">
      <alignment horizontal="center"/>
    </xf>
    <xf numFmtId="0" fontId="19" fillId="18" borderId="0" xfId="0" applyFont="1" applyFill="1" applyAlignment="1">
      <alignment horizontal="center"/>
    </xf>
    <xf numFmtId="0" fontId="19" fillId="14" borderId="0" xfId="0" applyFont="1" applyFill="1" applyAlignment="1">
      <alignment horizontal="center"/>
    </xf>
  </cellXfs>
  <cellStyles count="1">
    <cellStyle name="Normal" xfId="0" builtinId="0"/>
  </cellStyles>
  <dxfs count="14">
    <dxf>
      <fill>
        <patternFill patternType="solid">
          <fgColor rgb="FFE6B8AF"/>
          <bgColor rgb="FFE6B8AF"/>
        </patternFill>
      </fill>
    </dxf>
    <dxf>
      <fill>
        <patternFill patternType="solid">
          <fgColor rgb="FFEA9999"/>
          <bgColor rgb="FFEA9999"/>
        </patternFill>
      </fill>
    </dxf>
    <dxf>
      <fill>
        <patternFill patternType="solid">
          <fgColor rgb="FFEA9999"/>
          <bgColor rgb="FFEA9999"/>
        </patternFill>
      </fill>
    </dxf>
    <dxf>
      <fill>
        <patternFill patternType="solid">
          <fgColor rgb="FFE6B8AF"/>
          <bgColor rgb="FFE6B8AF"/>
        </patternFill>
      </fill>
    </dxf>
    <dxf>
      <font>
        <color rgb="FF000000"/>
      </font>
      <fill>
        <patternFill patternType="solid">
          <fgColor rgb="FFE6B8AF"/>
          <bgColor rgb="FFE6B8AF"/>
        </patternFill>
      </fill>
    </dxf>
    <dxf>
      <fill>
        <patternFill patternType="solid">
          <fgColor rgb="FFB7E1CD"/>
          <bgColor rgb="FFB7E1CD"/>
        </patternFill>
      </fill>
    </dxf>
    <dxf>
      <fill>
        <patternFill patternType="solid">
          <fgColor rgb="FFB6D7A8"/>
          <bgColor rgb="FFB6D7A8"/>
        </patternFill>
      </fill>
    </dxf>
    <dxf>
      <fill>
        <patternFill patternType="solid">
          <fgColor rgb="FFEA9999"/>
          <bgColor rgb="FFEA9999"/>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s>
  <tableStyles count="2">
    <tableStyle name="Community Breakdown-style" pivot="0" count="3" xr9:uid="{00000000-0011-0000-FFFF-FFFF00000000}">
      <tableStyleElement type="headerRow" dxfId="13"/>
      <tableStyleElement type="firstRowStripe" dxfId="12"/>
      <tableStyleElement type="secondRowStripe" dxfId="11"/>
    </tableStyle>
    <tableStyle name="Region Breakdown-style" pivot="0" count="3" xr9:uid="{00000000-0011-0000-FFFF-FFFF01000000}">
      <tableStyleElement type="headerRow" dxfId="10"/>
      <tableStyleElement type="firstRowStripe" dxfId="9"/>
      <tableStyleElement type="secondRowStripe" dxfId="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4:AJ53" headerRowCount="0">
  <tableColumns count="36">
    <tableColumn id="1" xr3:uid="{00000000-0010-0000-0000-000001000000}" name="Column1"/>
    <tableColumn id="2" xr3:uid="{00000000-0010-0000-0000-000002000000}" name="Column2"/>
    <tableColumn id="3" xr3:uid="{00000000-0010-0000-0000-000003000000}" name="Column3"/>
    <tableColumn id="4" xr3:uid="{00000000-0010-0000-0000-000004000000}" name="Column4"/>
    <tableColumn id="5" xr3:uid="{00000000-0010-0000-0000-000005000000}" name="Column5"/>
    <tableColumn id="6" xr3:uid="{00000000-0010-0000-0000-000006000000}" name="Column6"/>
    <tableColumn id="7" xr3:uid="{00000000-0010-0000-0000-000007000000}" name="Column7"/>
    <tableColumn id="8" xr3:uid="{00000000-0010-0000-0000-000008000000}" name="Column8"/>
    <tableColumn id="9" xr3:uid="{00000000-0010-0000-0000-000009000000}" name="Column9"/>
    <tableColumn id="10" xr3:uid="{00000000-0010-0000-0000-00000A000000}" name="Column10"/>
    <tableColumn id="11" xr3:uid="{00000000-0010-0000-0000-00000B000000}" name="Column11"/>
    <tableColumn id="12" xr3:uid="{00000000-0010-0000-0000-00000C000000}" name="Column12"/>
    <tableColumn id="13" xr3:uid="{00000000-0010-0000-0000-00000D000000}" name="Column13"/>
    <tableColumn id="14" xr3:uid="{00000000-0010-0000-0000-00000E000000}" name="Column14"/>
    <tableColumn id="15" xr3:uid="{00000000-0010-0000-0000-00000F000000}" name="Column15"/>
    <tableColumn id="16" xr3:uid="{00000000-0010-0000-0000-000010000000}" name="Column16"/>
    <tableColumn id="17" xr3:uid="{00000000-0010-0000-0000-000011000000}" name="Column17"/>
    <tableColumn id="18" xr3:uid="{00000000-0010-0000-0000-000012000000}" name="Column18"/>
    <tableColumn id="19" xr3:uid="{00000000-0010-0000-0000-000013000000}" name="Column19"/>
    <tableColumn id="20" xr3:uid="{00000000-0010-0000-0000-000014000000}" name="Column20"/>
    <tableColumn id="21" xr3:uid="{00000000-0010-0000-0000-000015000000}" name="Column21"/>
    <tableColumn id="22" xr3:uid="{00000000-0010-0000-0000-000016000000}" name="Column22"/>
    <tableColumn id="23" xr3:uid="{00000000-0010-0000-0000-000017000000}" name="Column23"/>
    <tableColumn id="24" xr3:uid="{00000000-0010-0000-0000-000018000000}" name="Column24"/>
    <tableColumn id="25" xr3:uid="{00000000-0010-0000-0000-000019000000}" name="Column25"/>
    <tableColumn id="26" xr3:uid="{00000000-0010-0000-0000-00001A000000}" name="Column26"/>
    <tableColumn id="27" xr3:uid="{00000000-0010-0000-0000-00001B000000}" name="Column27"/>
    <tableColumn id="28" xr3:uid="{00000000-0010-0000-0000-00001C000000}" name="Column28"/>
    <tableColumn id="29" xr3:uid="{00000000-0010-0000-0000-00001D000000}" name="Column29"/>
    <tableColumn id="30" xr3:uid="{00000000-0010-0000-0000-00001E000000}" name="Column30"/>
    <tableColumn id="31" xr3:uid="{00000000-0010-0000-0000-00001F000000}" name="Column31"/>
    <tableColumn id="32" xr3:uid="{00000000-0010-0000-0000-000020000000}" name="Column32"/>
    <tableColumn id="33" xr3:uid="{00000000-0010-0000-0000-000021000000}" name="Column33"/>
    <tableColumn id="34" xr3:uid="{00000000-0010-0000-0000-000022000000}" name="Column34"/>
    <tableColumn id="35" xr3:uid="{00000000-0010-0000-0000-000023000000}" name="Column35"/>
    <tableColumn id="36" xr3:uid="{00000000-0010-0000-0000-000024000000}" name="Column36"/>
  </tableColumns>
  <tableStyleInfo name="Community Breakdown-style" showFirstColumn="1" showLastColumn="1" showRowStripes="1" showColumnStripes="0"/>
  <extLst>
    <ext uri="GoogleSheetsCustomDataVersion1">
      <go:sheetsCustomData xmlns:go="http://customooxmlschemas.google.com/" headerRowCount="1"/>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1:R14" headerRowCount="0">
  <tableColumns count="18">
    <tableColumn id="1" xr3:uid="{00000000-0010-0000-0100-000001000000}" name="Column1"/>
    <tableColumn id="2" xr3:uid="{00000000-0010-0000-0100-000002000000}" name="Column2"/>
    <tableColumn id="3" xr3:uid="{00000000-0010-0000-0100-000003000000}" name="Column3"/>
    <tableColumn id="4" xr3:uid="{00000000-0010-0000-0100-000004000000}" name="Column4"/>
    <tableColumn id="5" xr3:uid="{00000000-0010-0000-0100-000005000000}" name="Column5"/>
    <tableColumn id="6" xr3:uid="{00000000-0010-0000-0100-000006000000}" name="Column6"/>
    <tableColumn id="7" xr3:uid="{00000000-0010-0000-0100-000007000000}" name="Column7"/>
    <tableColumn id="8" xr3:uid="{00000000-0010-0000-0100-000008000000}" name="Column8"/>
    <tableColumn id="9" xr3:uid="{00000000-0010-0000-0100-000009000000}" name="Column9"/>
    <tableColumn id="10" xr3:uid="{00000000-0010-0000-0100-00000A000000}" name="Column10"/>
    <tableColumn id="11" xr3:uid="{00000000-0010-0000-0100-00000B000000}" name="Column11"/>
    <tableColumn id="12" xr3:uid="{00000000-0010-0000-0100-00000C000000}" name="Column12"/>
    <tableColumn id="13" xr3:uid="{00000000-0010-0000-0100-00000D000000}" name="Column13"/>
    <tableColumn id="14" xr3:uid="{00000000-0010-0000-0100-00000E000000}" name="Column14"/>
    <tableColumn id="15" xr3:uid="{00000000-0010-0000-0100-00000F000000}" name="Column15"/>
    <tableColumn id="16" xr3:uid="{00000000-0010-0000-0100-000010000000}" name="Column16"/>
    <tableColumn id="17" xr3:uid="{00000000-0010-0000-0100-000011000000}" name="Column17"/>
    <tableColumn id="18" xr3:uid="{00000000-0010-0000-0100-000012000000}" name="Column18"/>
  </tableColumns>
  <tableStyleInfo name="Region Breakdown-style" showFirstColumn="1" showLastColumn="1" showRowStripes="1" showColumnStripes="0"/>
  <extLst>
    <ext uri="GoogleSheetsCustomDataVersion1">
      <go:sheetsCustomData xmlns:go="http://customooxmlschemas.google.com/" headerRowCount="1"/>
    </ext>
  </extLst>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datacommons.org/tools/timeline" TargetMode="External"/><Relationship Id="rId2" Type="http://schemas.openxmlformats.org/officeDocument/2006/relationships/hyperlink" Target="https://datacommons.org/" TargetMode="External"/><Relationship Id="rId1" Type="http://schemas.openxmlformats.org/officeDocument/2006/relationships/hyperlink" Target="https://heatpump.analysisnorth.com/" TargetMode="External"/><Relationship Id="rId5" Type="http://schemas.openxmlformats.org/officeDocument/2006/relationships/table" Target="../tables/table1.xml"/><Relationship Id="rId4" Type="http://schemas.openxmlformats.org/officeDocument/2006/relationships/hyperlink" Target="https://datacommons.org/tools/timeline"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data.census.gov/table/ACSDT5Y2022.B25040?t=Heating%20and%20Air%20Conditioning%20(HVAC)&amp;g=050XX00US02063,02100,02105,02110,02122,02130,02150,02195,02198,02201,02220,02230,02275,02282&amp;moe=false&amp;tp=true" TargetMode="External"/><Relationship Id="rId2" Type="http://schemas.openxmlformats.org/officeDocument/2006/relationships/hyperlink" Target="https://data.census.gov/table/ACSDT5Y2022.B25040?t=Heating%20and%20Air%20Conditioning%20(HVAC)&amp;g=050XX00US02063,02100,02105,02110,02122,02130,02150,02195,02198,02201,02220,02230,02275,02282&amp;moe=false&amp;tp=true" TargetMode="External"/><Relationship Id="rId1" Type="http://schemas.openxmlformats.org/officeDocument/2006/relationships/hyperlink" Target="https://data.census.gov/table/DECENNIALPL2020.H1?t=Occupancy%20Characteristics&amp;g=050XX00US02063,02100,02105,02110,02122,02130,02150,02195,02198,02201,02220,02230,02275,02282&amp;tp=true" TargetMode="Externa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hyperlink" Target="https://datacommons.org/tools/timeline" TargetMode="External"/><Relationship Id="rId1" Type="http://schemas.openxmlformats.org/officeDocument/2006/relationships/hyperlink" Target="https://datacommons.org/tools/timeline"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datacommons.org/tools/timeline" TargetMode="External"/><Relationship Id="rId3" Type="http://schemas.openxmlformats.org/officeDocument/2006/relationships/hyperlink" Target="https://datacommons.org/tools/timeline" TargetMode="External"/><Relationship Id="rId7" Type="http://schemas.openxmlformats.org/officeDocument/2006/relationships/hyperlink" Target="https://datacommons.org/tools/timeline" TargetMode="External"/><Relationship Id="rId2" Type="http://schemas.openxmlformats.org/officeDocument/2006/relationships/hyperlink" Target="https://datacommons.org/tools/timeline" TargetMode="External"/><Relationship Id="rId1" Type="http://schemas.openxmlformats.org/officeDocument/2006/relationships/hyperlink" Target="https://datacommons.org/" TargetMode="External"/><Relationship Id="rId6" Type="http://schemas.openxmlformats.org/officeDocument/2006/relationships/hyperlink" Target="https://data.census.gov/table/ACSDT5Y2022.B25040?t=Heating%20and%20Air%20Conditioning%20(HVAC)&amp;g=050XX00US02063,02100,02105,02110,02122,02130,02150,02195,02198,02201,02220,02230,02275,02282&amp;moe=false&amp;tp=true" TargetMode="External"/><Relationship Id="rId5" Type="http://schemas.openxmlformats.org/officeDocument/2006/relationships/hyperlink" Target="https://data.census.gov/table/ACSDT5Y2022.B25040?t=Heating%20and%20Air%20Conditioning%20(HVAC)&amp;g=050XX00US02063,02100,02105,02110,02122,02130,02150,02195,02198,02201,02220,02230,02275,02282&amp;moe=false&amp;tp=true" TargetMode="External"/><Relationship Id="rId4" Type="http://schemas.openxmlformats.org/officeDocument/2006/relationships/hyperlink" Target="https://data.census.gov/table/DECENNIALPL2020.H1?t=Occupancy%20Characteristics&amp;g=050XX00US02063,02100,02105,02110,02122,02130,02150,02195,02198,02201,02220,02230,02275,02282&amp;tp=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A86E8"/>
  </sheetPr>
  <dimension ref="A1:AJ54"/>
  <sheetViews>
    <sheetView workbookViewId="0">
      <pane xSplit="1" ySplit="3" topLeftCell="B35" activePane="bottomRight" state="frozen"/>
      <selection pane="topRight" activeCell="B1" sqref="B1"/>
      <selection pane="bottomLeft" activeCell="A4" sqref="A4"/>
      <selection pane="bottomRight" activeCell="B4" sqref="B4"/>
    </sheetView>
  </sheetViews>
  <sheetFormatPr baseColWidth="10" defaultColWidth="14.5" defaultRowHeight="15" customHeight="1"/>
  <cols>
    <col min="1" max="1" width="14.5" customWidth="1"/>
    <col min="2" max="3" width="31" customWidth="1"/>
    <col min="4" max="4" width="4.5" hidden="1" customWidth="1"/>
    <col min="5" max="5" width="10.83203125" hidden="1" customWidth="1"/>
    <col min="6" max="6" width="11.5" hidden="1" customWidth="1"/>
    <col min="7" max="7" width="10.33203125" customWidth="1"/>
    <col min="8" max="10" width="7.5" customWidth="1"/>
    <col min="11" max="12" width="9.5" customWidth="1"/>
    <col min="13" max="13" width="9.5" hidden="1" customWidth="1"/>
    <col min="14" max="15" width="9.5" customWidth="1"/>
    <col min="16" max="16" width="8.5" customWidth="1"/>
    <col min="17" max="22" width="7.5" customWidth="1"/>
    <col min="23" max="24" width="7.5" hidden="1" customWidth="1"/>
    <col min="25" max="25" width="10.1640625" hidden="1" customWidth="1"/>
    <col min="26" max="26" width="11.1640625" customWidth="1"/>
    <col min="27" max="27" width="10.5" customWidth="1"/>
    <col min="28" max="28" width="11.6640625" customWidth="1"/>
    <col min="29" max="29" width="8.6640625" hidden="1" customWidth="1"/>
    <col min="30" max="30" width="9.83203125" customWidth="1"/>
    <col min="31" max="31" width="11.33203125" customWidth="1"/>
    <col min="32" max="32" width="12.1640625" customWidth="1"/>
    <col min="33" max="34" width="8.6640625" customWidth="1"/>
    <col min="35" max="35" width="12.33203125" customWidth="1"/>
    <col min="36" max="36" width="9.5" customWidth="1"/>
  </cols>
  <sheetData>
    <row r="1" spans="1:36">
      <c r="Y1" s="229" t="s">
        <v>0</v>
      </c>
      <c r="Z1" s="230"/>
      <c r="AA1" s="230"/>
      <c r="AB1" s="230"/>
      <c r="AC1" s="230"/>
      <c r="AD1" s="230"/>
      <c r="AE1" s="230"/>
      <c r="AF1" s="231"/>
      <c r="AG1" s="1"/>
      <c r="AH1" s="1"/>
      <c r="AI1" s="1"/>
      <c r="AJ1" s="1"/>
    </row>
    <row r="2" spans="1:36">
      <c r="A2" s="2"/>
      <c r="B2" s="2"/>
      <c r="C2" s="2"/>
      <c r="D2" s="2"/>
      <c r="E2" s="232" t="s">
        <v>1</v>
      </c>
      <c r="F2" s="232" t="s">
        <v>2</v>
      </c>
      <c r="G2" s="234"/>
      <c r="H2" s="233"/>
      <c r="I2" s="3"/>
      <c r="J2" s="3"/>
      <c r="K2" s="3"/>
      <c r="L2" s="3"/>
      <c r="M2" s="235" t="s">
        <v>3</v>
      </c>
      <c r="N2" s="236" t="s">
        <v>4</v>
      </c>
      <c r="O2" s="237"/>
      <c r="P2" s="237"/>
      <c r="Q2" s="237"/>
      <c r="R2" s="237"/>
      <c r="S2" s="237"/>
      <c r="T2" s="237"/>
      <c r="U2" s="237"/>
      <c r="V2" s="237"/>
      <c r="W2" s="237"/>
      <c r="X2" s="238"/>
      <c r="Y2" s="239" t="s">
        <v>5</v>
      </c>
      <c r="Z2" s="237"/>
      <c r="AA2" s="237"/>
      <c r="AB2" s="238"/>
      <c r="AC2" s="240" t="s">
        <v>6</v>
      </c>
      <c r="AD2" s="237"/>
      <c r="AE2" s="237"/>
      <c r="AF2" s="238"/>
      <c r="AG2" s="2"/>
      <c r="AH2" s="2"/>
      <c r="AI2" s="2"/>
      <c r="AJ2" s="2"/>
    </row>
    <row r="3" spans="1:36" ht="127.5" customHeight="1">
      <c r="A3" s="5" t="s">
        <v>7</v>
      </c>
      <c r="B3" s="5" t="s">
        <v>8</v>
      </c>
      <c r="C3" s="6" t="s">
        <v>9</v>
      </c>
      <c r="D3" s="2" t="s">
        <v>10</v>
      </c>
      <c r="E3" s="233"/>
      <c r="F3" s="233"/>
      <c r="G3" s="7" t="s">
        <v>11</v>
      </c>
      <c r="H3" s="8" t="s">
        <v>12</v>
      </c>
      <c r="I3" s="9" t="s">
        <v>13</v>
      </c>
      <c r="J3" s="9" t="s">
        <v>14</v>
      </c>
      <c r="K3" s="10" t="s">
        <v>15</v>
      </c>
      <c r="L3" s="11" t="s">
        <v>16</v>
      </c>
      <c r="M3" s="233"/>
      <c r="N3" s="12" t="s">
        <v>17</v>
      </c>
      <c r="O3" s="13" t="s">
        <v>18</v>
      </c>
      <c r="P3" s="14" t="s">
        <v>19</v>
      </c>
      <c r="Q3" s="14" t="s">
        <v>20</v>
      </c>
      <c r="R3" s="14" t="s">
        <v>21</v>
      </c>
      <c r="S3" s="14" t="s">
        <v>22</v>
      </c>
      <c r="T3" s="14" t="s">
        <v>23</v>
      </c>
      <c r="U3" s="14" t="s">
        <v>24</v>
      </c>
      <c r="V3" s="14" t="s">
        <v>25</v>
      </c>
      <c r="W3" s="14" t="s">
        <v>26</v>
      </c>
      <c r="X3" s="15" t="s">
        <v>27</v>
      </c>
      <c r="Y3" s="16" t="s">
        <v>28</v>
      </c>
      <c r="Z3" s="16" t="s">
        <v>29</v>
      </c>
      <c r="AA3" s="16" t="s">
        <v>30</v>
      </c>
      <c r="AB3" s="17" t="s">
        <v>31</v>
      </c>
      <c r="AC3" s="18" t="s">
        <v>28</v>
      </c>
      <c r="AD3" s="19" t="s">
        <v>29</v>
      </c>
      <c r="AE3" s="19" t="s">
        <v>30</v>
      </c>
      <c r="AF3" s="20" t="s">
        <v>31</v>
      </c>
      <c r="AG3" s="21" t="s">
        <v>32</v>
      </c>
      <c r="AH3" s="22" t="s">
        <v>33</v>
      </c>
      <c r="AI3" s="21" t="s">
        <v>34</v>
      </c>
      <c r="AJ3" s="22" t="s">
        <v>35</v>
      </c>
    </row>
    <row r="4" spans="1:36">
      <c r="A4" s="23" t="s">
        <v>36</v>
      </c>
      <c r="B4" s="24" t="s">
        <v>37</v>
      </c>
      <c r="C4" s="25" t="s">
        <v>38</v>
      </c>
      <c r="D4" s="25"/>
      <c r="E4" s="23">
        <v>57.797184000000001</v>
      </c>
      <c r="F4" s="24">
        <v>-152.39132699999999</v>
      </c>
      <c r="G4" s="26">
        <f t="shared" ref="G4:G7" si="0">1-H4</f>
        <v>0</v>
      </c>
      <c r="H4" s="27">
        <v>1</v>
      </c>
      <c r="I4" s="28">
        <v>0.18709999999999999</v>
      </c>
      <c r="J4" s="29">
        <v>5.26</v>
      </c>
      <c r="K4" s="30">
        <v>5420</v>
      </c>
      <c r="L4" s="31">
        <f t="shared" ref="L4:L51" si="1">K4/93106</f>
        <v>5.8213219341395832E-2</v>
      </c>
      <c r="M4" s="32">
        <f>VLOOKUP(B4, 'Region Breakdown'!$A$2:$H$98, 8, FALSE)</f>
        <v>0.19209999999999999</v>
      </c>
      <c r="N4" s="33">
        <v>2130</v>
      </c>
      <c r="O4" s="29">
        <v>1770</v>
      </c>
      <c r="P4" s="29">
        <f>VLOOKUP(B4, 'Region Breakdown'!$A$2:$K$98, 11, FALSE)</f>
        <v>1854</v>
      </c>
      <c r="Q4" s="32">
        <f>VLOOKUP(B4, 'Region Breakdown'!$A$2:$M$98, 13, FALSE)</f>
        <v>0.38531761125903385</v>
      </c>
      <c r="R4" s="32">
        <f>VLOOKUP(B4, 'Region Breakdown'!$A$2:$N$98, 14, FALSE)</f>
        <v>0.53</v>
      </c>
      <c r="S4" s="32">
        <f t="shared" ref="S4:S51" si="2">AVERAGE(Q4:R4)</f>
        <v>0.45765880562951694</v>
      </c>
      <c r="T4" s="32">
        <f t="shared" ref="T4:T51" si="3">1-S4</f>
        <v>0.542341194370483</v>
      </c>
      <c r="U4" s="34">
        <f>VLOOKUP(B4, 'Region Breakdown'!$A$2:$P$98, 16, FALSE)</f>
        <v>0.73156981786643538</v>
      </c>
      <c r="V4" s="35">
        <f t="shared" ref="V4:V51" si="4">O4*U4</f>
        <v>1294.8785776235907</v>
      </c>
      <c r="W4" s="32">
        <f>VLOOKUP(B4, 'Region Breakdown'!$A$2:$R$98, 18, FALSE)</f>
        <v>0.15156114483954899</v>
      </c>
      <c r="X4" s="36">
        <f t="shared" ref="X4:X51" si="5">O4*W4</f>
        <v>268.26322636600173</v>
      </c>
      <c r="Y4" s="29">
        <v>20119</v>
      </c>
      <c r="Z4" s="29">
        <v>671</v>
      </c>
      <c r="AA4" s="29">
        <v>7195</v>
      </c>
      <c r="AB4" s="29">
        <v>14879</v>
      </c>
      <c r="AC4" s="33">
        <v>14613</v>
      </c>
      <c r="AD4" s="29">
        <v>491</v>
      </c>
      <c r="AE4" s="29">
        <v>5311</v>
      </c>
      <c r="AF4" s="37">
        <v>10882</v>
      </c>
      <c r="AG4" s="38">
        <f t="shared" ref="AG4:AG51" si="6">(S4*Z4)+(T4*AD4)</f>
        <v>573.378585013313</v>
      </c>
      <c r="AH4" s="39">
        <f t="shared" ref="AH4:AH51" si="7">((S4*AB4)+(T4*AF4))*0.000453592</f>
        <v>5.7657268647335256</v>
      </c>
      <c r="AI4" s="40">
        <f t="shared" ref="AI4:AI51" si="8">AG4*O4</f>
        <v>1014880.095473564</v>
      </c>
      <c r="AJ4" s="39">
        <f t="shared" ref="AJ4:AJ51" si="9">AH4*O4</f>
        <v>10205.33655057834</v>
      </c>
    </row>
    <row r="5" spans="1:36">
      <c r="A5" s="41" t="s">
        <v>39</v>
      </c>
      <c r="B5" s="42" t="s">
        <v>37</v>
      </c>
      <c r="C5" s="43" t="s">
        <v>38</v>
      </c>
      <c r="D5" s="43"/>
      <c r="E5" s="41">
        <v>57.866687800000001</v>
      </c>
      <c r="F5" s="42">
        <v>-152.879852</v>
      </c>
      <c r="G5" s="44">
        <f t="shared" si="0"/>
        <v>0</v>
      </c>
      <c r="H5" s="27">
        <v>1</v>
      </c>
      <c r="I5" s="45">
        <v>0.18709999999999999</v>
      </c>
      <c r="J5" s="40">
        <v>3.99</v>
      </c>
      <c r="K5" s="40">
        <v>168</v>
      </c>
      <c r="L5" s="46">
        <f t="shared" si="1"/>
        <v>1.8043949906558117E-3</v>
      </c>
      <c r="M5" s="27">
        <f>VLOOKUP(B5, 'Region Breakdown'!$A$2:$H$98, 8, FALSE)</f>
        <v>0.19209999999999999</v>
      </c>
      <c r="N5" s="38">
        <v>122</v>
      </c>
      <c r="O5" s="40">
        <v>66</v>
      </c>
      <c r="P5" s="40">
        <f>VLOOKUP(B5, 'Region Breakdown'!$A$2:$K$98, 11, FALSE)</f>
        <v>1854</v>
      </c>
      <c r="Q5" s="27">
        <f>VLOOKUP(B5, 'Region Breakdown'!$A$2:$M$98, 13, FALSE)</f>
        <v>0.38531761125903385</v>
      </c>
      <c r="R5" s="27">
        <f>VLOOKUP(B5, 'Region Breakdown'!$A$2:$N$98, 14, FALSE)</f>
        <v>0.53</v>
      </c>
      <c r="S5" s="27">
        <f t="shared" si="2"/>
        <v>0.45765880562951694</v>
      </c>
      <c r="T5" s="27">
        <f t="shared" si="3"/>
        <v>0.542341194370483</v>
      </c>
      <c r="U5" s="47">
        <f>VLOOKUP(B5, 'Region Breakdown'!$A$2:$P$98, 16, FALSE)</f>
        <v>0.73156981786643538</v>
      </c>
      <c r="V5" s="48">
        <f t="shared" si="4"/>
        <v>48.283607979184737</v>
      </c>
      <c r="W5" s="27">
        <f>VLOOKUP(B5, 'Region Breakdown'!$A$2:$R$98, 18, FALSE)</f>
        <v>0.15156114483954899</v>
      </c>
      <c r="X5" s="49">
        <f t="shared" si="5"/>
        <v>10.003035559410234</v>
      </c>
      <c r="Y5" s="40">
        <v>24238</v>
      </c>
      <c r="Z5" s="40">
        <v>671</v>
      </c>
      <c r="AA5" s="40">
        <v>7195</v>
      </c>
      <c r="AB5" s="40">
        <v>14879</v>
      </c>
      <c r="AC5" s="38">
        <v>17625</v>
      </c>
      <c r="AD5" s="40">
        <v>491</v>
      </c>
      <c r="AE5" s="40">
        <v>5311</v>
      </c>
      <c r="AF5" s="39">
        <v>10882</v>
      </c>
      <c r="AG5" s="38">
        <f t="shared" si="6"/>
        <v>573.378585013313</v>
      </c>
      <c r="AH5" s="39">
        <f t="shared" si="7"/>
        <v>5.7657268647335256</v>
      </c>
      <c r="AI5" s="40">
        <f t="shared" si="8"/>
        <v>37842.986610878659</v>
      </c>
      <c r="AJ5" s="39">
        <f t="shared" si="9"/>
        <v>380.53797307241268</v>
      </c>
    </row>
    <row r="6" spans="1:36">
      <c r="A6" s="41" t="s">
        <v>40</v>
      </c>
      <c r="B6" s="42" t="s">
        <v>41</v>
      </c>
      <c r="C6" s="43" t="s">
        <v>40</v>
      </c>
      <c r="D6" s="43"/>
      <c r="E6" s="41">
        <v>58.357019999999999</v>
      </c>
      <c r="F6" s="42">
        <v>-134.53433200000001</v>
      </c>
      <c r="G6" s="44">
        <f t="shared" si="0"/>
        <v>0</v>
      </c>
      <c r="H6" s="27">
        <v>1</v>
      </c>
      <c r="I6" s="45">
        <v>0.1203</v>
      </c>
      <c r="J6" s="40">
        <v>4.55</v>
      </c>
      <c r="K6" s="40">
        <v>31700</v>
      </c>
      <c r="L6" s="46">
        <f t="shared" si="1"/>
        <v>0.34047215002255493</v>
      </c>
      <c r="M6" s="27">
        <f>VLOOKUP(B6, 'Region Breakdown'!$A$2:$H$98, 8, FALSE)</f>
        <v>0.2107</v>
      </c>
      <c r="N6" s="38">
        <v>14100</v>
      </c>
      <c r="O6" s="40">
        <v>13000</v>
      </c>
      <c r="P6" s="40">
        <f>VLOOKUP(B6, 'Region Breakdown'!$A$2:$K$98, 11, FALSE)</f>
        <v>1841</v>
      </c>
      <c r="Q6" s="27">
        <f>VLOOKUP(B6, 'Region Breakdown'!$A$2:$M$98, 13, FALSE)</f>
        <v>0.28666322237803527</v>
      </c>
      <c r="R6" s="27">
        <f>VLOOKUP(B6, 'Region Breakdown'!$A$2:$N$98, 14, FALSE)</f>
        <v>0.57999999999999996</v>
      </c>
      <c r="S6" s="27">
        <f t="shared" si="2"/>
        <v>0.43333161118901764</v>
      </c>
      <c r="T6" s="27">
        <f t="shared" si="3"/>
        <v>0.56666838881098236</v>
      </c>
      <c r="U6" s="47">
        <f>VLOOKUP(B6, 'Region Breakdown'!$A$2:$P$98, 16, FALSE)</f>
        <v>0.62627511591962903</v>
      </c>
      <c r="V6" s="48">
        <f t="shared" si="4"/>
        <v>8141.5765069551771</v>
      </c>
      <c r="W6" s="27">
        <f>VLOOKUP(B6, 'Region Breakdown'!$A$2:$R$98, 18, FALSE)</f>
        <v>0.32063369397217928</v>
      </c>
      <c r="X6" s="49">
        <f t="shared" si="5"/>
        <v>4168.2380216383308</v>
      </c>
      <c r="Y6" s="40">
        <v>27688</v>
      </c>
      <c r="Z6" s="40">
        <v>644</v>
      </c>
      <c r="AA6" s="40">
        <v>7204</v>
      </c>
      <c r="AB6" s="40">
        <v>14271</v>
      </c>
      <c r="AC6" s="38">
        <v>20528</v>
      </c>
      <c r="AD6" s="40">
        <v>480</v>
      </c>
      <c r="AE6" s="40">
        <v>5475</v>
      </c>
      <c r="AF6" s="39">
        <v>10651</v>
      </c>
      <c r="AG6" s="38">
        <f t="shared" si="6"/>
        <v>551.06638423499885</v>
      </c>
      <c r="AH6" s="39">
        <f t="shared" si="7"/>
        <v>5.5427402149004656</v>
      </c>
      <c r="AI6" s="40">
        <f t="shared" si="8"/>
        <v>7163862.9950549854</v>
      </c>
      <c r="AJ6" s="39">
        <f t="shared" si="9"/>
        <v>72055.622793706047</v>
      </c>
    </row>
    <row r="7" spans="1:36">
      <c r="A7" s="41" t="s">
        <v>42</v>
      </c>
      <c r="B7" s="42" t="s">
        <v>37</v>
      </c>
      <c r="C7" s="43" t="s">
        <v>38</v>
      </c>
      <c r="D7" s="43"/>
      <c r="E7" s="41">
        <v>57.534187299999999</v>
      </c>
      <c r="F7" s="42">
        <v>-153.98773199999999</v>
      </c>
      <c r="G7" s="44">
        <f t="shared" si="0"/>
        <v>0</v>
      </c>
      <c r="H7" s="27">
        <v>1</v>
      </c>
      <c r="I7" s="50">
        <v>0.5</v>
      </c>
      <c r="J7" s="40">
        <v>3.97</v>
      </c>
      <c r="K7" s="40">
        <v>33</v>
      </c>
      <c r="L7" s="46">
        <f t="shared" si="1"/>
        <v>3.5443473030739159E-4</v>
      </c>
      <c r="M7" s="27">
        <f>VLOOKUP(B7, 'Region Breakdown'!$A$2:$H$98, 8, FALSE)</f>
        <v>0.19209999999999999</v>
      </c>
      <c r="N7" s="38">
        <v>83</v>
      </c>
      <c r="O7" s="40">
        <v>18</v>
      </c>
      <c r="P7" s="40">
        <f>VLOOKUP(B7, 'Region Breakdown'!$A$2:$K$98, 11, FALSE)</f>
        <v>1854</v>
      </c>
      <c r="Q7" s="27">
        <f>VLOOKUP(B7, 'Region Breakdown'!$A$2:$M$98, 13, FALSE)</f>
        <v>0.38531761125903385</v>
      </c>
      <c r="R7" s="27">
        <f>VLOOKUP(B7, 'Region Breakdown'!$A$2:$N$98, 14, FALSE)</f>
        <v>0.53</v>
      </c>
      <c r="S7" s="27">
        <f t="shared" si="2"/>
        <v>0.45765880562951694</v>
      </c>
      <c r="T7" s="27">
        <f t="shared" si="3"/>
        <v>0.542341194370483</v>
      </c>
      <c r="U7" s="47">
        <f>VLOOKUP(B7, 'Region Breakdown'!$A$2:$P$98, 16, FALSE)</f>
        <v>0.73156981786643538</v>
      </c>
      <c r="V7" s="48">
        <f t="shared" si="4"/>
        <v>13.168256721595837</v>
      </c>
      <c r="W7" s="27">
        <f>VLOOKUP(B7, 'Region Breakdown'!$A$2:$R$98, 18, FALSE)</f>
        <v>0.15156114483954899</v>
      </c>
      <c r="X7" s="49">
        <f t="shared" si="5"/>
        <v>2.7281006071118821</v>
      </c>
      <c r="Y7" s="40">
        <v>15250</v>
      </c>
      <c r="Z7" s="40">
        <v>671</v>
      </c>
      <c r="AA7" s="40">
        <v>7195</v>
      </c>
      <c r="AB7" s="40">
        <v>13440</v>
      </c>
      <c r="AC7" s="38">
        <v>10926</v>
      </c>
      <c r="AD7" s="40">
        <v>491</v>
      </c>
      <c r="AE7" s="40">
        <v>5311</v>
      </c>
      <c r="AF7" s="39">
        <v>9820</v>
      </c>
      <c r="AG7" s="38">
        <f t="shared" si="6"/>
        <v>573.378585013313</v>
      </c>
      <c r="AH7" s="39">
        <f t="shared" si="7"/>
        <v>5.2057505901264358</v>
      </c>
      <c r="AI7" s="40">
        <f t="shared" si="8"/>
        <v>10320.814530239633</v>
      </c>
      <c r="AJ7" s="39">
        <f t="shared" si="9"/>
        <v>93.703510622275843</v>
      </c>
    </row>
    <row r="8" spans="1:36">
      <c r="A8" s="41" t="s">
        <v>43</v>
      </c>
      <c r="B8" s="42" t="s">
        <v>44</v>
      </c>
      <c r="C8" s="43" t="s">
        <v>45</v>
      </c>
      <c r="D8" s="43"/>
      <c r="E8" s="41">
        <v>56.805084200000003</v>
      </c>
      <c r="F8" s="42">
        <v>-132.9572</v>
      </c>
      <c r="G8" s="44">
        <v>0</v>
      </c>
      <c r="H8" s="27">
        <v>1</v>
      </c>
      <c r="I8" s="45">
        <v>0.126</v>
      </c>
      <c r="J8" s="40">
        <v>4.25</v>
      </c>
      <c r="K8" s="40">
        <v>2790</v>
      </c>
      <c r="L8" s="46">
        <f t="shared" si="1"/>
        <v>2.9965845380534015E-2</v>
      </c>
      <c r="M8" s="27">
        <f>VLOOKUP(B8, 'Region Breakdown'!$A$2:$H$98, 8, FALSE)</f>
        <v>0.1421</v>
      </c>
      <c r="N8" s="38">
        <v>1480</v>
      </c>
      <c r="O8" s="40">
        <v>1230</v>
      </c>
      <c r="P8" s="40">
        <f>VLOOKUP(B8, 'Region Breakdown'!$A$2:$K$98, 11, FALSE)</f>
        <v>1750</v>
      </c>
      <c r="Q8" s="27">
        <f>VLOOKUP(B8, 'Region Breakdown'!$A$2:$M$98, 13, FALSE)</f>
        <v>0.39344262295081966</v>
      </c>
      <c r="R8" s="27">
        <f>VLOOKUP(B8, 'Region Breakdown'!$A$2:$N$98, 14, FALSE)</f>
        <v>0.67</v>
      </c>
      <c r="S8" s="27">
        <f t="shared" si="2"/>
        <v>0.5317213114754098</v>
      </c>
      <c r="T8" s="27">
        <f t="shared" si="3"/>
        <v>0.4682786885245902</v>
      </c>
      <c r="U8" s="47">
        <f>VLOOKUP(B8, 'Region Breakdown'!$A$2:$P$98, 16, FALSE)</f>
        <v>0.41111923920994881</v>
      </c>
      <c r="V8" s="48">
        <f t="shared" si="4"/>
        <v>505.67666422823703</v>
      </c>
      <c r="W8" s="27">
        <f>VLOOKUP(B8, 'Region Breakdown'!$A$2:$R$98, 18, FALSE)</f>
        <v>0.45354791514264814</v>
      </c>
      <c r="X8" s="49">
        <f t="shared" si="5"/>
        <v>557.8639356254572</v>
      </c>
      <c r="Y8" s="40">
        <v>29301</v>
      </c>
      <c r="Z8" s="40">
        <v>615</v>
      </c>
      <c r="AA8" s="40">
        <v>6781</v>
      </c>
      <c r="AB8" s="40">
        <v>12964</v>
      </c>
      <c r="AC8" s="38">
        <v>21562</v>
      </c>
      <c r="AD8" s="40">
        <v>455</v>
      </c>
      <c r="AE8" s="40">
        <v>5100</v>
      </c>
      <c r="AF8" s="39">
        <v>9580</v>
      </c>
      <c r="AG8" s="38">
        <f t="shared" si="6"/>
        <v>540.07540983606555</v>
      </c>
      <c r="AH8" s="39">
        <f t="shared" si="7"/>
        <v>5.1615798200603287</v>
      </c>
      <c r="AI8" s="40">
        <f t="shared" si="8"/>
        <v>664292.75409836066</v>
      </c>
      <c r="AJ8" s="39">
        <f t="shared" si="9"/>
        <v>6348.7431786742045</v>
      </c>
    </row>
    <row r="9" spans="1:36">
      <c r="A9" s="41" t="s">
        <v>46</v>
      </c>
      <c r="B9" s="42" t="s">
        <v>44</v>
      </c>
      <c r="C9" s="43" t="s">
        <v>45</v>
      </c>
      <c r="D9" s="43"/>
      <c r="E9" s="41">
        <v>56.814399999999999</v>
      </c>
      <c r="F9" s="42">
        <v>-132.98060000000001</v>
      </c>
      <c r="G9" s="44">
        <v>0</v>
      </c>
      <c r="H9" s="27">
        <v>1</v>
      </c>
      <c r="I9" s="40">
        <v>0.13</v>
      </c>
      <c r="J9" s="40">
        <v>4.97</v>
      </c>
      <c r="K9" s="40">
        <v>19</v>
      </c>
      <c r="L9" s="46">
        <f t="shared" si="1"/>
        <v>2.0406848108607393E-4</v>
      </c>
      <c r="M9" s="27">
        <f>VLOOKUP(B9, 'Region Breakdown'!$A$2:$H$98, 8, FALSE)</f>
        <v>0.1421</v>
      </c>
      <c r="N9" s="38">
        <v>23</v>
      </c>
      <c r="O9" s="40">
        <v>5</v>
      </c>
      <c r="P9" s="40">
        <f>VLOOKUP(B9, 'Region Breakdown'!$A$2:$K$98, 11, FALSE)</f>
        <v>1750</v>
      </c>
      <c r="Q9" s="27">
        <f>VLOOKUP(B9, 'Region Breakdown'!$A$2:$M$98, 13, FALSE)</f>
        <v>0.39344262295081966</v>
      </c>
      <c r="R9" s="27">
        <f>VLOOKUP(B9, 'Region Breakdown'!$A$2:$N$98, 14, FALSE)</f>
        <v>0.67</v>
      </c>
      <c r="S9" s="27">
        <f t="shared" si="2"/>
        <v>0.5317213114754098</v>
      </c>
      <c r="T9" s="27">
        <f t="shared" si="3"/>
        <v>0.4682786885245902</v>
      </c>
      <c r="U9" s="47">
        <f>VLOOKUP(B9, 'Region Breakdown'!$A$2:$P$98, 16, FALSE)</f>
        <v>0.41111923920994881</v>
      </c>
      <c r="V9" s="48">
        <f t="shared" si="4"/>
        <v>2.055596196049744</v>
      </c>
      <c r="W9" s="27">
        <f>VLOOKUP(B9, 'Region Breakdown'!$A$2:$R$98, 18, FALSE)</f>
        <v>0.45354791514264814</v>
      </c>
      <c r="X9" s="49">
        <f t="shared" si="5"/>
        <v>2.2677395757132408</v>
      </c>
      <c r="Y9" s="40">
        <v>29301</v>
      </c>
      <c r="Z9" s="40">
        <v>615</v>
      </c>
      <c r="AA9" s="40">
        <v>6781</v>
      </c>
      <c r="AB9" s="40">
        <v>12964</v>
      </c>
      <c r="AC9" s="38">
        <v>21562</v>
      </c>
      <c r="AD9" s="40">
        <v>455</v>
      </c>
      <c r="AE9" s="40">
        <v>5100</v>
      </c>
      <c r="AF9" s="39">
        <v>9580</v>
      </c>
      <c r="AG9" s="38">
        <f t="shared" si="6"/>
        <v>540.07540983606555</v>
      </c>
      <c r="AH9" s="39">
        <f t="shared" si="7"/>
        <v>5.1615798200603287</v>
      </c>
      <c r="AI9" s="40">
        <f t="shared" si="8"/>
        <v>2700.377049180328</v>
      </c>
      <c r="AJ9" s="39">
        <f t="shared" si="9"/>
        <v>25.807899100301643</v>
      </c>
    </row>
    <row r="10" spans="1:36">
      <c r="A10" s="41" t="s">
        <v>47</v>
      </c>
      <c r="B10" s="42" t="s">
        <v>48</v>
      </c>
      <c r="C10" s="43" t="s">
        <v>45</v>
      </c>
      <c r="D10" s="43"/>
      <c r="E10" s="41">
        <v>56.420825999999998</v>
      </c>
      <c r="F10" s="42">
        <v>-132.352631</v>
      </c>
      <c r="G10" s="44">
        <f t="shared" ref="G10:G41" si="10">1-H10</f>
        <v>0</v>
      </c>
      <c r="H10" s="27">
        <v>1</v>
      </c>
      <c r="I10" s="45">
        <v>0.15479999999999999</v>
      </c>
      <c r="J10" s="40">
        <v>4.71</v>
      </c>
      <c r="K10" s="40">
        <v>2070</v>
      </c>
      <c r="L10" s="46">
        <f t="shared" si="1"/>
        <v>2.2232723992009106E-2</v>
      </c>
      <c r="M10" s="27">
        <f>VLOOKUP(B10, 'Region Breakdown'!$A$2:$H$98, 8, FALSE)</f>
        <v>0.30459999999999998</v>
      </c>
      <c r="N10" s="38">
        <v>1350</v>
      </c>
      <c r="O10" s="40">
        <v>928</v>
      </c>
      <c r="P10" s="40">
        <f>VLOOKUP(B10, 'Region Breakdown'!$A$2:$K$98, 11, FALSE)</f>
        <v>1800</v>
      </c>
      <c r="Q10" s="27">
        <f>VLOOKUP(B10, 'Region Breakdown'!$A$2:$M$98, 13, FALSE)</f>
        <v>0.37261580381471388</v>
      </c>
      <c r="R10" s="27">
        <f>VLOOKUP(B10, 'Region Breakdown'!$A$2:$N$98, 14, FALSE)</f>
        <v>0.66</v>
      </c>
      <c r="S10" s="27">
        <f t="shared" si="2"/>
        <v>0.51630790190735698</v>
      </c>
      <c r="T10" s="27">
        <f t="shared" si="3"/>
        <v>0.48369209809264302</v>
      </c>
      <c r="U10" s="47">
        <f>VLOOKUP(B10, 'Region Breakdown'!$A$2:$P$98, 16, FALSE)</f>
        <v>0.3011789924973205</v>
      </c>
      <c r="V10" s="48">
        <f t="shared" si="4"/>
        <v>279.49410503751341</v>
      </c>
      <c r="W10" s="27">
        <f>VLOOKUP(B10, 'Region Breakdown'!$A$2:$R$98, 18, FALSE)</f>
        <v>0.61521972132904612</v>
      </c>
      <c r="X10" s="49">
        <f t="shared" si="5"/>
        <v>570.92390139335475</v>
      </c>
      <c r="Y10" s="40">
        <v>27950</v>
      </c>
      <c r="Z10" s="40">
        <v>605</v>
      </c>
      <c r="AA10" s="40">
        <v>6552</v>
      </c>
      <c r="AB10" s="40">
        <v>12752</v>
      </c>
      <c r="AC10" s="38">
        <v>20283</v>
      </c>
      <c r="AD10" s="40">
        <v>444</v>
      </c>
      <c r="AE10" s="40">
        <v>4882</v>
      </c>
      <c r="AF10" s="39">
        <v>9359</v>
      </c>
      <c r="AG10" s="38">
        <f t="shared" si="6"/>
        <v>527.12557220708447</v>
      </c>
      <c r="AH10" s="39">
        <f t="shared" si="7"/>
        <v>5.0397848311257771</v>
      </c>
      <c r="AI10" s="40">
        <f t="shared" si="8"/>
        <v>489172.53100817441</v>
      </c>
      <c r="AJ10" s="39">
        <f t="shared" si="9"/>
        <v>4676.9203232847212</v>
      </c>
    </row>
    <row r="11" spans="1:36">
      <c r="A11" s="41" t="s">
        <v>49</v>
      </c>
      <c r="B11" s="42" t="s">
        <v>50</v>
      </c>
      <c r="C11" s="43" t="s">
        <v>51</v>
      </c>
      <c r="D11" s="43"/>
      <c r="E11" s="41">
        <v>55.352233900000002</v>
      </c>
      <c r="F11" s="42">
        <v>-131.66831999999999</v>
      </c>
      <c r="G11" s="44">
        <f t="shared" si="10"/>
        <v>0</v>
      </c>
      <c r="H11" s="27">
        <v>1</v>
      </c>
      <c r="I11" s="45">
        <v>0.1056</v>
      </c>
      <c r="J11" s="40">
        <v>4.71</v>
      </c>
      <c r="K11" s="40">
        <v>8070</v>
      </c>
      <c r="L11" s="46">
        <f t="shared" si="1"/>
        <v>8.6675402229716661E-2</v>
      </c>
      <c r="M11" s="27">
        <f>VLOOKUP(B11, 'Region Breakdown'!$A$2:$H$98, 8, FALSE)</f>
        <v>0.2467</v>
      </c>
      <c r="N11" s="38">
        <v>3930</v>
      </c>
      <c r="O11" s="40">
        <v>3290</v>
      </c>
      <c r="P11" s="40">
        <f>VLOOKUP(B11, 'Region Breakdown'!$A$2:$K$98, 11, FALSE)</f>
        <v>1778</v>
      </c>
      <c r="Q11" s="27">
        <f>VLOOKUP(B11, 'Region Breakdown'!$A$2:$M$98, 13, FALSE)</f>
        <v>0.33258785942492014</v>
      </c>
      <c r="R11" s="27">
        <f>VLOOKUP(B11, 'Region Breakdown'!$A$2:$N$98, 14, FALSE)</f>
        <v>0.74</v>
      </c>
      <c r="S11" s="27">
        <f t="shared" si="2"/>
        <v>0.53629392971246004</v>
      </c>
      <c r="T11" s="27">
        <f t="shared" si="3"/>
        <v>0.46370607028753996</v>
      </c>
      <c r="U11" s="47">
        <f>VLOOKUP(B11, 'Region Breakdown'!$A$2:$P$98, 16, FALSE)</f>
        <v>0.54955283810914402</v>
      </c>
      <c r="V11" s="48">
        <f t="shared" si="4"/>
        <v>1808.0288373790838</v>
      </c>
      <c r="W11" s="27">
        <f>VLOOKUP(B11, 'Region Breakdown'!$A$2:$R$98, 18, FALSE)</f>
        <v>0.38711443694104763</v>
      </c>
      <c r="X11" s="49">
        <f t="shared" si="5"/>
        <v>1273.6064975360466</v>
      </c>
      <c r="Y11" s="40">
        <v>28011</v>
      </c>
      <c r="Z11" s="40">
        <v>584</v>
      </c>
      <c r="AA11" s="40">
        <v>6447</v>
      </c>
      <c r="AB11" s="40">
        <v>12309</v>
      </c>
      <c r="AC11" s="38">
        <v>20623</v>
      </c>
      <c r="AD11" s="40">
        <v>432</v>
      </c>
      <c r="AE11" s="40">
        <v>4858</v>
      </c>
      <c r="AF11" s="39">
        <v>9101</v>
      </c>
      <c r="AG11" s="38">
        <f t="shared" si="6"/>
        <v>513.51667731629391</v>
      </c>
      <c r="AH11" s="39">
        <f t="shared" si="7"/>
        <v>4.9085144968209589</v>
      </c>
      <c r="AI11" s="40">
        <f t="shared" si="8"/>
        <v>1689469.868370607</v>
      </c>
      <c r="AJ11" s="39">
        <f t="shared" si="9"/>
        <v>16149.012694540954</v>
      </c>
    </row>
    <row r="12" spans="1:36">
      <c r="A12" s="41" t="s">
        <v>52</v>
      </c>
      <c r="B12" s="42" t="s">
        <v>50</v>
      </c>
      <c r="C12" s="43" t="s">
        <v>51</v>
      </c>
      <c r="D12" s="43"/>
      <c r="E12" s="41">
        <v>55.32103</v>
      </c>
      <c r="F12" s="42">
        <v>-131.59870000000001</v>
      </c>
      <c r="G12" s="44">
        <f t="shared" si="10"/>
        <v>0</v>
      </c>
      <c r="H12" s="27">
        <v>1</v>
      </c>
      <c r="I12" s="45">
        <v>0.1056</v>
      </c>
      <c r="J12" s="40">
        <v>4.7149000000000001</v>
      </c>
      <c r="K12" s="40">
        <v>380</v>
      </c>
      <c r="L12" s="46">
        <f t="shared" si="1"/>
        <v>4.0813696217214786E-3</v>
      </c>
      <c r="M12" s="27">
        <f>VLOOKUP(B12, 'Region Breakdown'!$A$2:$H$98, 8, FALSE)</f>
        <v>0.2467</v>
      </c>
      <c r="N12" s="38">
        <v>140</v>
      </c>
      <c r="O12" s="40">
        <v>118</v>
      </c>
      <c r="P12" s="40">
        <f>VLOOKUP(B12, 'Region Breakdown'!$A$2:$K$98, 11, FALSE)</f>
        <v>1778</v>
      </c>
      <c r="Q12" s="27">
        <f>VLOOKUP(B12, 'Region Breakdown'!$A$2:$M$98, 13, FALSE)</f>
        <v>0.33258785942492014</v>
      </c>
      <c r="R12" s="27">
        <f>VLOOKUP(B12, 'Region Breakdown'!$A$2:$N$98, 14, FALSE)</f>
        <v>0.74</v>
      </c>
      <c r="S12" s="27">
        <f t="shared" si="2"/>
        <v>0.53629392971246004</v>
      </c>
      <c r="T12" s="27">
        <f t="shared" si="3"/>
        <v>0.46370607028753996</v>
      </c>
      <c r="U12" s="47">
        <f>VLOOKUP(B12, 'Region Breakdown'!$A$2:$P$98, 16, FALSE)</f>
        <v>0.54955283810914402</v>
      </c>
      <c r="V12" s="48">
        <f t="shared" si="4"/>
        <v>64.847234896878987</v>
      </c>
      <c r="W12" s="27">
        <f>VLOOKUP(B12, 'Region Breakdown'!$A$2:$R$98, 18, FALSE)</f>
        <v>0.38711443694104763</v>
      </c>
      <c r="X12" s="49">
        <f t="shared" si="5"/>
        <v>45.679503559043624</v>
      </c>
      <c r="Y12" s="40">
        <v>28143</v>
      </c>
      <c r="Z12" s="40">
        <v>584</v>
      </c>
      <c r="AA12" s="40">
        <v>6447</v>
      </c>
      <c r="AB12" s="40">
        <v>12309</v>
      </c>
      <c r="AC12" s="38">
        <v>20720</v>
      </c>
      <c r="AD12" s="40">
        <v>432</v>
      </c>
      <c r="AE12" s="40">
        <v>4858</v>
      </c>
      <c r="AF12" s="39">
        <v>9101</v>
      </c>
      <c r="AG12" s="38">
        <f t="shared" si="6"/>
        <v>513.51667731629391</v>
      </c>
      <c r="AH12" s="39">
        <f t="shared" si="7"/>
        <v>4.9085144968209589</v>
      </c>
      <c r="AI12" s="40">
        <f t="shared" si="8"/>
        <v>60594.967923322678</v>
      </c>
      <c r="AJ12" s="39">
        <f t="shared" si="9"/>
        <v>579.2047106248732</v>
      </c>
    </row>
    <row r="13" spans="1:36">
      <c r="A13" s="41" t="s">
        <v>53</v>
      </c>
      <c r="B13" s="42" t="s">
        <v>54</v>
      </c>
      <c r="C13" s="43" t="s">
        <v>55</v>
      </c>
      <c r="D13" s="43"/>
      <c r="E13" s="41">
        <v>57.06306</v>
      </c>
      <c r="F13" s="42">
        <v>-135.33738700000001</v>
      </c>
      <c r="G13" s="44">
        <f t="shared" si="10"/>
        <v>0</v>
      </c>
      <c r="H13" s="27">
        <v>1</v>
      </c>
      <c r="I13" s="45">
        <v>0.17469999999999999</v>
      </c>
      <c r="J13" s="40">
        <v>4.71</v>
      </c>
      <c r="K13" s="40">
        <v>8380</v>
      </c>
      <c r="L13" s="46">
        <f t="shared" si="1"/>
        <v>9.0004940605331554E-2</v>
      </c>
      <c r="M13" s="27">
        <f>VLOOKUP(B13, 'Region Breakdown'!$A$2:$H$98, 8, FALSE)</f>
        <v>0.24379999999999999</v>
      </c>
      <c r="N13" s="38">
        <v>4140</v>
      </c>
      <c r="O13" s="40">
        <v>3460</v>
      </c>
      <c r="P13" s="40">
        <f>VLOOKUP(B13, 'Region Breakdown'!$A$2:$K$98, 11, FALSE)</f>
        <v>1689</v>
      </c>
      <c r="Q13" s="27">
        <f>VLOOKUP(B13, 'Region Breakdown'!$A$2:$M$98, 13, FALSE)</f>
        <v>0.35175296029719061</v>
      </c>
      <c r="R13" s="27">
        <f>VLOOKUP(B13, 'Region Breakdown'!$A$2:$N$98, 14, FALSE)</f>
        <v>0.56999999999999995</v>
      </c>
      <c r="S13" s="27">
        <f t="shared" si="2"/>
        <v>0.46087648014859528</v>
      </c>
      <c r="T13" s="27">
        <f t="shared" si="3"/>
        <v>0.53912351985140472</v>
      </c>
      <c r="U13" s="47">
        <f>VLOOKUP(B13, 'Region Breakdown'!$A$2:$P$98, 16, FALSE)</f>
        <v>0.54750073078047357</v>
      </c>
      <c r="V13" s="48">
        <f t="shared" si="4"/>
        <v>1894.3525285004384</v>
      </c>
      <c r="W13" s="27">
        <f>VLOOKUP(B13, 'Region Breakdown'!$A$2:$R$98, 18, FALSE)</f>
        <v>0.40719087985969016</v>
      </c>
      <c r="X13" s="49">
        <f t="shared" si="5"/>
        <v>1408.8804443145279</v>
      </c>
      <c r="Y13" s="40">
        <v>21497</v>
      </c>
      <c r="Z13" s="40">
        <v>570</v>
      </c>
      <c r="AA13" s="40">
        <v>6116</v>
      </c>
      <c r="AB13" s="40">
        <v>12636</v>
      </c>
      <c r="AC13" s="38">
        <v>15470</v>
      </c>
      <c r="AD13" s="40">
        <v>413</v>
      </c>
      <c r="AE13" s="40">
        <v>4483</v>
      </c>
      <c r="AF13" s="39">
        <v>9155</v>
      </c>
      <c r="AG13" s="38">
        <f t="shared" si="6"/>
        <v>485.35760738332948</v>
      </c>
      <c r="AH13" s="39">
        <f t="shared" si="7"/>
        <v>4.8803374075391774</v>
      </c>
      <c r="AI13" s="40">
        <f t="shared" si="8"/>
        <v>1679337.3215463201</v>
      </c>
      <c r="AJ13" s="39">
        <f t="shared" si="9"/>
        <v>16885.967430085555</v>
      </c>
    </row>
    <row r="14" spans="1:36">
      <c r="A14" s="41" t="s">
        <v>56</v>
      </c>
      <c r="B14" s="42" t="s">
        <v>57</v>
      </c>
      <c r="C14" s="43" t="s">
        <v>58</v>
      </c>
      <c r="D14" s="43"/>
      <c r="E14" s="41">
        <v>59.235824600000001</v>
      </c>
      <c r="F14" s="42">
        <v>-135.45034799999999</v>
      </c>
      <c r="G14" s="44">
        <f t="shared" si="10"/>
        <v>0.10999999999999999</v>
      </c>
      <c r="H14" s="27">
        <v>0.89</v>
      </c>
      <c r="I14" s="45">
        <v>0.26100000000000001</v>
      </c>
      <c r="J14" s="40">
        <v>4.71</v>
      </c>
      <c r="K14" s="40">
        <v>1370</v>
      </c>
      <c r="L14" s="46">
        <f t="shared" si="1"/>
        <v>1.4714411530943225E-2</v>
      </c>
      <c r="M14" s="27">
        <f>VLOOKUP(B14, 'Region Breakdown'!$A$2:$H$98, 8, FALSE)</f>
        <v>0.17929999999999999</v>
      </c>
      <c r="N14" s="38">
        <v>826</v>
      </c>
      <c r="O14" s="40">
        <v>615</v>
      </c>
      <c r="P14" s="40">
        <f>VLOOKUP(B14, 'Region Breakdown'!$A$2:$K$98, 11, FALSE)</f>
        <v>1751</v>
      </c>
      <c r="Q14" s="27">
        <f>VLOOKUP(B14, 'Region Breakdown'!$A$2:$M$98, 13, FALSE)</f>
        <v>0.19787985865724381</v>
      </c>
      <c r="R14" s="27">
        <f>VLOOKUP(B14, 'Region Breakdown'!$A$2:$N$98, 14, FALSE)</f>
        <v>0.54</v>
      </c>
      <c r="S14" s="27">
        <f t="shared" si="2"/>
        <v>0.36893992932862191</v>
      </c>
      <c r="T14" s="27">
        <f t="shared" si="3"/>
        <v>0.63106007067137804</v>
      </c>
      <c r="U14" s="47">
        <f>VLOOKUP(B14, 'Region Breakdown'!$A$2:$P$98, 16, FALSE)</f>
        <v>0.45755693581780538</v>
      </c>
      <c r="V14" s="48">
        <f t="shared" si="4"/>
        <v>281.3975155279503</v>
      </c>
      <c r="W14" s="27">
        <f>VLOOKUP(B14, 'Region Breakdown'!$A$2:$R$98, 18, FALSE)</f>
        <v>1.3457556935817806E-2</v>
      </c>
      <c r="X14" s="49">
        <f t="shared" si="5"/>
        <v>8.2763975155279503</v>
      </c>
      <c r="Y14" s="40">
        <v>18888</v>
      </c>
      <c r="Z14" s="51">
        <v>597</v>
      </c>
      <c r="AA14" s="51">
        <v>6734</v>
      </c>
      <c r="AB14" s="51">
        <v>12564</v>
      </c>
      <c r="AC14" s="52">
        <v>13944</v>
      </c>
      <c r="AD14" s="40">
        <v>447</v>
      </c>
      <c r="AE14" s="40">
        <v>5158</v>
      </c>
      <c r="AF14" s="53">
        <v>9399</v>
      </c>
      <c r="AG14" s="38">
        <f t="shared" si="6"/>
        <v>502.34098939929328</v>
      </c>
      <c r="AH14" s="39">
        <f t="shared" si="7"/>
        <v>4.7929682623420495</v>
      </c>
      <c r="AI14" s="40">
        <f t="shared" si="8"/>
        <v>308939.70848056534</v>
      </c>
      <c r="AJ14" s="39">
        <f t="shared" si="9"/>
        <v>2947.6754813403604</v>
      </c>
    </row>
    <row r="15" spans="1:36">
      <c r="A15" s="41" t="s">
        <v>59</v>
      </c>
      <c r="B15" s="42" t="s">
        <v>60</v>
      </c>
      <c r="C15" s="43" t="s">
        <v>58</v>
      </c>
      <c r="D15" s="43"/>
      <c r="E15" s="41">
        <v>59.461666100000002</v>
      </c>
      <c r="F15" s="42">
        <v>-135.310272</v>
      </c>
      <c r="G15" s="44">
        <f t="shared" si="10"/>
        <v>0.16000000000000003</v>
      </c>
      <c r="H15" s="27">
        <v>0.84</v>
      </c>
      <c r="I15" s="45">
        <v>0.2611</v>
      </c>
      <c r="J15" s="40">
        <v>4.71</v>
      </c>
      <c r="K15" s="40">
        <v>741</v>
      </c>
      <c r="L15" s="46">
        <f t="shared" si="1"/>
        <v>7.9586707623568835E-3</v>
      </c>
      <c r="M15" s="27">
        <f>VLOOKUP(B15, 'Region Breakdown'!$A$2:$H$98, 8, FALSE)</f>
        <v>5.8099999999999999E-2</v>
      </c>
      <c r="N15" s="38">
        <v>538</v>
      </c>
      <c r="O15" s="40">
        <v>346</v>
      </c>
      <c r="P15" s="40">
        <f>VLOOKUP(B15, 'Region Breakdown'!$A$2:$K$98, 11, FALSE)</f>
        <v>1689</v>
      </c>
      <c r="Q15" s="27">
        <f>VLOOKUP(B15, 'Region Breakdown'!$A$2:$M$98, 13, FALSE)</f>
        <v>0.31058495821727017</v>
      </c>
      <c r="R15" s="27">
        <f>VLOOKUP(B15, 'Region Breakdown'!$A$2:$N$98, 14, FALSE)</f>
        <v>0.57999999999999996</v>
      </c>
      <c r="S15" s="27">
        <f t="shared" si="2"/>
        <v>0.44529247910863506</v>
      </c>
      <c r="T15" s="27">
        <f t="shared" si="3"/>
        <v>0.55470752089136499</v>
      </c>
      <c r="U15" s="47">
        <f>VLOOKUP(B15, 'Region Breakdown'!$A$2:$P$98, 16, FALSE)</f>
        <v>0.66854990583804141</v>
      </c>
      <c r="V15" s="48">
        <f t="shared" si="4"/>
        <v>231.31826741996232</v>
      </c>
      <c r="W15" s="27">
        <f>VLOOKUP(B15, 'Region Breakdown'!$A$2:$R$98, 18, FALSE)</f>
        <v>3.0131826741996232E-2</v>
      </c>
      <c r="X15" s="49">
        <f t="shared" si="5"/>
        <v>10.425612052730697</v>
      </c>
      <c r="Y15" s="40">
        <v>17905</v>
      </c>
      <c r="Z15" s="40">
        <v>579</v>
      </c>
      <c r="AA15" s="40">
        <v>6544</v>
      </c>
      <c r="AB15" s="40">
        <v>11531</v>
      </c>
      <c r="AC15" s="38">
        <v>13198</v>
      </c>
      <c r="AD15" s="40">
        <v>433</v>
      </c>
      <c r="AE15" s="40">
        <v>5003</v>
      </c>
      <c r="AF15" s="39">
        <v>8602</v>
      </c>
      <c r="AG15" s="38">
        <f t="shared" si="6"/>
        <v>498.01270194986074</v>
      </c>
      <c r="AH15" s="39">
        <f t="shared" si="7"/>
        <v>4.4934010440124794</v>
      </c>
      <c r="AI15" s="40">
        <f t="shared" si="8"/>
        <v>172312.39487465183</v>
      </c>
      <c r="AJ15" s="39">
        <f t="shared" si="9"/>
        <v>1554.7167612283179</v>
      </c>
    </row>
    <row r="16" spans="1:36">
      <c r="A16" s="41" t="s">
        <v>61</v>
      </c>
      <c r="B16" s="42" t="s">
        <v>62</v>
      </c>
      <c r="C16" s="43" t="s">
        <v>63</v>
      </c>
      <c r="D16" s="43"/>
      <c r="E16" s="41">
        <v>61.125790000000002</v>
      </c>
      <c r="F16" s="42">
        <v>-146.28566000000001</v>
      </c>
      <c r="G16" s="44">
        <f t="shared" si="10"/>
        <v>0.38</v>
      </c>
      <c r="H16" s="27">
        <v>0.62</v>
      </c>
      <c r="I16" s="45">
        <v>0.35799999999999998</v>
      </c>
      <c r="J16" s="40">
        <v>4.7</v>
      </c>
      <c r="K16" s="40">
        <v>3870</v>
      </c>
      <c r="L16" s="46">
        <f t="shared" si="1"/>
        <v>4.1565527463321372E-2</v>
      </c>
      <c r="M16" s="27">
        <f>VLOOKUP(B16, 'Region Breakdown'!$A$2:$H$98, 8, FALSE)</f>
        <v>0.155</v>
      </c>
      <c r="N16" s="38">
        <v>1930</v>
      </c>
      <c r="O16" s="40">
        <v>1660</v>
      </c>
      <c r="P16" s="40">
        <f>VLOOKUP(B16, 'Region Breakdown'!$A$2:$K$98, 11, FALSE)</f>
        <v>1838</v>
      </c>
      <c r="Q16" s="27">
        <f>VLOOKUP(B16, 'Region Breakdown'!$A$2:$M$98, 13, FALSE)</f>
        <v>0.34745179063360881</v>
      </c>
      <c r="R16" s="27">
        <f>VLOOKUP(B16, 'Region Breakdown'!$A$2:$N$98, 14, FALSE)</f>
        <v>0.54</v>
      </c>
      <c r="S16" s="27">
        <f t="shared" si="2"/>
        <v>0.4437258953168044</v>
      </c>
      <c r="T16" s="27">
        <f t="shared" si="3"/>
        <v>0.5562741046831956</v>
      </c>
      <c r="U16" s="47">
        <f>VLOOKUP(B16, 'Region Breakdown'!$A$2:$P$98, 16, FALSE)</f>
        <v>0.8715925394548063</v>
      </c>
      <c r="V16" s="48">
        <f t="shared" si="4"/>
        <v>1446.8436154949784</v>
      </c>
      <c r="W16" s="27">
        <f>VLOOKUP(B16, 'Region Breakdown'!$A$2:$R$98, 18, FALSE)</f>
        <v>4.483500717360115E-2</v>
      </c>
      <c r="X16" s="49">
        <f t="shared" si="5"/>
        <v>74.426111908177916</v>
      </c>
      <c r="Y16" s="40">
        <v>2016</v>
      </c>
      <c r="Z16" s="40">
        <v>724</v>
      </c>
      <c r="AA16" s="40">
        <v>8053</v>
      </c>
      <c r="AB16" s="40">
        <v>11210</v>
      </c>
      <c r="AC16" s="38">
        <v>1289</v>
      </c>
      <c r="AD16" s="40">
        <v>534</v>
      </c>
      <c r="AE16" s="40">
        <v>5995</v>
      </c>
      <c r="AF16" s="39">
        <v>8246</v>
      </c>
      <c r="AG16" s="38">
        <f t="shared" si="6"/>
        <v>618.30792011019287</v>
      </c>
      <c r="AH16" s="39">
        <f t="shared" si="7"/>
        <v>4.3368854423385121</v>
      </c>
      <c r="AI16" s="40">
        <f t="shared" si="8"/>
        <v>1026391.1473829201</v>
      </c>
      <c r="AJ16" s="39">
        <f t="shared" si="9"/>
        <v>7199.2298342819304</v>
      </c>
    </row>
    <row r="17" spans="1:36">
      <c r="A17" s="41" t="s">
        <v>64</v>
      </c>
      <c r="B17" s="42" t="s">
        <v>62</v>
      </c>
      <c r="C17" s="42" t="s">
        <v>63</v>
      </c>
      <c r="D17" s="43"/>
      <c r="E17" s="41">
        <v>60.542743700000003</v>
      </c>
      <c r="F17" s="42">
        <v>-145.738617</v>
      </c>
      <c r="G17" s="44">
        <f t="shared" si="10"/>
        <v>0.21540000000000004</v>
      </c>
      <c r="H17" s="27">
        <v>0.78459999999999996</v>
      </c>
      <c r="I17" s="45">
        <v>0.28000000000000003</v>
      </c>
      <c r="J17" s="40">
        <v>4.71</v>
      </c>
      <c r="K17" s="40">
        <v>2510</v>
      </c>
      <c r="L17" s="46">
        <f t="shared" si="1"/>
        <v>2.6958520396107664E-2</v>
      </c>
      <c r="M17" s="27">
        <f>VLOOKUP(B17, 'Region Breakdown'!$A$2:$H$98, 8, FALSE)</f>
        <v>0.155</v>
      </c>
      <c r="N17" s="38">
        <v>1110</v>
      </c>
      <c r="O17" s="40">
        <v>883</v>
      </c>
      <c r="P17" s="40">
        <f>VLOOKUP(B17, 'Region Breakdown'!$A$2:$K$98, 11, FALSE)</f>
        <v>1838</v>
      </c>
      <c r="Q17" s="27">
        <f>VLOOKUP(B17, 'Region Breakdown'!$A$2:$M$98, 13, FALSE)</f>
        <v>0.34745179063360881</v>
      </c>
      <c r="R17" s="27">
        <f>VLOOKUP(B17, 'Region Breakdown'!$A$2:$N$98, 14, FALSE)</f>
        <v>0.54</v>
      </c>
      <c r="S17" s="27">
        <f t="shared" si="2"/>
        <v>0.4437258953168044</v>
      </c>
      <c r="T17" s="27">
        <f t="shared" si="3"/>
        <v>0.5562741046831956</v>
      </c>
      <c r="U17" s="47">
        <f>VLOOKUP(B17, 'Region Breakdown'!$A$2:$P$98, 16, FALSE)</f>
        <v>0.8715925394548063</v>
      </c>
      <c r="V17" s="48">
        <f t="shared" si="4"/>
        <v>769.61621233859398</v>
      </c>
      <c r="W17" s="27">
        <f>VLOOKUP(B17, 'Region Breakdown'!$A$2:$R$98, 18, FALSE)</f>
        <v>4.483500717360115E-2</v>
      </c>
      <c r="X17" s="49">
        <f t="shared" si="5"/>
        <v>39.589311334289818</v>
      </c>
      <c r="Y17" s="40">
        <v>20397</v>
      </c>
      <c r="Z17" s="40">
        <v>690</v>
      </c>
      <c r="AA17" s="40">
        <v>7814</v>
      </c>
      <c r="AB17" s="40">
        <v>10600</v>
      </c>
      <c r="AC17" s="38">
        <v>15543</v>
      </c>
      <c r="AD17" s="40">
        <v>523</v>
      </c>
      <c r="AE17" s="40">
        <v>6052</v>
      </c>
      <c r="AF17" s="39">
        <v>7972</v>
      </c>
      <c r="AG17" s="38">
        <f t="shared" si="6"/>
        <v>597.10222451790628</v>
      </c>
      <c r="AH17" s="39">
        <f t="shared" si="7"/>
        <v>4.1449743408588429</v>
      </c>
      <c r="AI17" s="40">
        <f t="shared" si="8"/>
        <v>527241.26424931129</v>
      </c>
      <c r="AJ17" s="39">
        <f t="shared" si="9"/>
        <v>3660.0123429783584</v>
      </c>
    </row>
    <row r="18" spans="1:36">
      <c r="A18" s="41" t="s">
        <v>65</v>
      </c>
      <c r="B18" s="42" t="s">
        <v>66</v>
      </c>
      <c r="C18" s="43" t="s">
        <v>67</v>
      </c>
      <c r="D18" s="43"/>
      <c r="E18" s="41">
        <v>60.111362499999998</v>
      </c>
      <c r="F18" s="42">
        <v>-149.43571499999999</v>
      </c>
      <c r="G18" s="44">
        <f t="shared" si="10"/>
        <v>0.79</v>
      </c>
      <c r="H18" s="27">
        <v>0.21</v>
      </c>
      <c r="I18" s="45">
        <v>0.20269999999999999</v>
      </c>
      <c r="J18" s="40">
        <v>5.13</v>
      </c>
      <c r="K18" s="40">
        <v>2850</v>
      </c>
      <c r="L18" s="46">
        <f t="shared" si="1"/>
        <v>3.0610272162911092E-2</v>
      </c>
      <c r="M18" s="27">
        <f>VLOOKUP(B18, 'Region Breakdown'!$A$2:$H$98, 8, FALSE)</f>
        <v>0.2467</v>
      </c>
      <c r="N18" s="38">
        <v>1230</v>
      </c>
      <c r="O18" s="40">
        <v>1020</v>
      </c>
      <c r="P18" s="40">
        <f>VLOOKUP(B18, 'Region Breakdown'!$A$2:$K$98, 11, FALSE)</f>
        <v>2006</v>
      </c>
      <c r="Q18" s="27">
        <f>VLOOKUP(B18, 'Region Breakdown'!$A$2:$M$98, 13, FALSE)</f>
        <v>0.3006085035463742</v>
      </c>
      <c r="R18" s="27">
        <f>VLOOKUP(B18, 'Region Breakdown'!$A$2:$N$98, 14, FALSE)</f>
        <v>0.28000000000000003</v>
      </c>
      <c r="S18" s="27">
        <f t="shared" si="2"/>
        <v>0.29030425177318708</v>
      </c>
      <c r="T18" s="27">
        <f t="shared" si="3"/>
        <v>0.70969574822681292</v>
      </c>
      <c r="U18" s="47">
        <f>VLOOKUP(B18, 'Region Breakdown'!$A$2:$P$98, 16, FALSE)</f>
        <v>0.7907259246847903</v>
      </c>
      <c r="V18" s="48">
        <f t="shared" si="4"/>
        <v>806.54044317848616</v>
      </c>
      <c r="W18" s="27">
        <f>VLOOKUP(B18, 'Region Breakdown'!$A$2:$R$98, 18, FALSE)</f>
        <v>7.9085158966196126E-2</v>
      </c>
      <c r="X18" s="49">
        <f t="shared" si="5"/>
        <v>80.666862145520042</v>
      </c>
      <c r="Y18" s="40">
        <v>17360</v>
      </c>
      <c r="Z18" s="40">
        <v>751</v>
      </c>
      <c r="AA18" s="40">
        <v>8404</v>
      </c>
      <c r="AB18" s="40">
        <v>9917</v>
      </c>
      <c r="AC18" s="38">
        <v>12976</v>
      </c>
      <c r="AD18" s="40">
        <v>573</v>
      </c>
      <c r="AE18" s="40">
        <v>6533</v>
      </c>
      <c r="AF18" s="39">
        <v>7479</v>
      </c>
      <c r="AG18" s="38">
        <f t="shared" si="6"/>
        <v>624.67415681562738</v>
      </c>
      <c r="AH18" s="39">
        <f t="shared" si="7"/>
        <v>3.7134496428831998</v>
      </c>
      <c r="AI18" s="40">
        <f t="shared" si="8"/>
        <v>637167.63995193993</v>
      </c>
      <c r="AJ18" s="39">
        <f t="shared" si="9"/>
        <v>3787.7186357408636</v>
      </c>
    </row>
    <row r="19" spans="1:36">
      <c r="A19" s="41" t="s">
        <v>68</v>
      </c>
      <c r="B19" s="42" t="s">
        <v>62</v>
      </c>
      <c r="C19" s="43" t="s">
        <v>63</v>
      </c>
      <c r="D19" s="43"/>
      <c r="E19" s="41">
        <v>60.773212399999998</v>
      </c>
      <c r="F19" s="42">
        <v>-148.68270899999999</v>
      </c>
      <c r="G19" s="44">
        <f t="shared" si="10"/>
        <v>0.79</v>
      </c>
      <c r="H19" s="27">
        <v>0.21</v>
      </c>
      <c r="I19" s="45">
        <v>0.21199999999999999</v>
      </c>
      <c r="J19" s="40"/>
      <c r="K19" s="40">
        <v>265</v>
      </c>
      <c r="L19" s="46">
        <f t="shared" si="1"/>
        <v>2.8462182888320839E-3</v>
      </c>
      <c r="M19" s="27">
        <f>VLOOKUP(B19, 'Region Breakdown'!$A$2:$H$98, 8, FALSE)</f>
        <v>0.155</v>
      </c>
      <c r="N19" s="38">
        <v>347</v>
      </c>
      <c r="O19" s="40">
        <v>155</v>
      </c>
      <c r="P19" s="40">
        <f>VLOOKUP(B19, 'Region Breakdown'!$A$2:$K$98, 11, FALSE)</f>
        <v>1838</v>
      </c>
      <c r="Q19" s="27">
        <f>VLOOKUP(B19, 'Region Breakdown'!$A$2:$M$98, 13, FALSE)</f>
        <v>0.34745179063360881</v>
      </c>
      <c r="R19" s="27">
        <f>VLOOKUP(B19, 'Region Breakdown'!$A$2:$N$98, 14, FALSE)</f>
        <v>0.54</v>
      </c>
      <c r="S19" s="27">
        <f t="shared" si="2"/>
        <v>0.4437258953168044</v>
      </c>
      <c r="T19" s="27">
        <f t="shared" si="3"/>
        <v>0.5562741046831956</v>
      </c>
      <c r="U19" s="47">
        <f>VLOOKUP(B19, 'Region Breakdown'!$A$2:$P$98, 16, FALSE)</f>
        <v>0.8715925394548063</v>
      </c>
      <c r="V19" s="48">
        <f t="shared" si="4"/>
        <v>135.09684361549498</v>
      </c>
      <c r="W19" s="27">
        <f>VLOOKUP(B19, 'Region Breakdown'!$A$2:$R$98, 18, FALSE)</f>
        <v>4.483500717360115E-2</v>
      </c>
      <c r="X19" s="49">
        <f t="shared" si="5"/>
        <v>6.9494261119081786</v>
      </c>
      <c r="Y19" s="40">
        <v>17651</v>
      </c>
      <c r="Z19" s="40">
        <v>715</v>
      </c>
      <c r="AA19" s="40">
        <v>8072</v>
      </c>
      <c r="AB19" s="40">
        <v>9385</v>
      </c>
      <c r="AC19" s="38">
        <v>13141</v>
      </c>
      <c r="AD19" s="40">
        <v>543</v>
      </c>
      <c r="AE19" s="40">
        <v>6239</v>
      </c>
      <c r="AF19" s="39">
        <v>7043</v>
      </c>
      <c r="AG19" s="38">
        <f t="shared" si="6"/>
        <v>619.32085399449034</v>
      </c>
      <c r="AH19" s="39">
        <f t="shared" si="7"/>
        <v>3.6660240051946005</v>
      </c>
      <c r="AI19" s="40">
        <f t="shared" si="8"/>
        <v>95994.732369146004</v>
      </c>
      <c r="AJ19" s="39">
        <f t="shared" si="9"/>
        <v>568.2337208051631</v>
      </c>
    </row>
    <row r="20" spans="1:36">
      <c r="A20" s="41" t="s">
        <v>69</v>
      </c>
      <c r="B20" s="42" t="s">
        <v>70</v>
      </c>
      <c r="C20" s="43" t="s">
        <v>55</v>
      </c>
      <c r="D20" s="43"/>
      <c r="E20" s="41">
        <v>58.421939999999999</v>
      </c>
      <c r="F20" s="42">
        <v>-135.73968500000001</v>
      </c>
      <c r="G20" s="44">
        <f t="shared" si="10"/>
        <v>0.17000000000000004</v>
      </c>
      <c r="H20" s="27">
        <v>0.83</v>
      </c>
      <c r="I20" s="45">
        <v>0.26700000000000002</v>
      </c>
      <c r="J20" s="40">
        <v>4.42</v>
      </c>
      <c r="K20" s="40">
        <v>620</v>
      </c>
      <c r="L20" s="46">
        <f t="shared" si="1"/>
        <v>6.6590767512297814E-3</v>
      </c>
      <c r="M20" s="27">
        <f>VLOOKUP(B20, 'Region Breakdown'!$A$2:$H$98, 8, FALSE)</f>
        <v>0.46679999999999999</v>
      </c>
      <c r="N20" s="38">
        <v>503</v>
      </c>
      <c r="O20" s="40">
        <v>248</v>
      </c>
      <c r="P20" s="40">
        <f>VLOOKUP(B20, 'Region Breakdown'!$A$2:$K$98, 11, FALSE)</f>
        <v>1260</v>
      </c>
      <c r="Q20" s="27">
        <f>VLOOKUP(B20, 'Region Breakdown'!$A$2:$M$98, 13, FALSE)</f>
        <v>0.34724983432736911</v>
      </c>
      <c r="R20" s="27">
        <f>VLOOKUP(B20, 'Region Breakdown'!$A$2:$N$98, 14, FALSE)</f>
        <v>0.68</v>
      </c>
      <c r="S20" s="27">
        <f t="shared" si="2"/>
        <v>0.51362491716368464</v>
      </c>
      <c r="T20" s="27">
        <f t="shared" si="3"/>
        <v>0.48637508283631536</v>
      </c>
      <c r="U20" s="47">
        <f>VLOOKUP(B20, 'Region Breakdown'!$A$2:$P$98, 16, FALSE)</f>
        <v>0.5311542390194075</v>
      </c>
      <c r="V20" s="48">
        <f t="shared" si="4"/>
        <v>131.72625127681306</v>
      </c>
      <c r="W20" s="27">
        <f>VLOOKUP(B20, 'Region Breakdown'!$A$2:$R$98, 18, FALSE)</f>
        <v>1.634320735444331E-2</v>
      </c>
      <c r="X20" s="49">
        <f t="shared" si="5"/>
        <v>4.0531154239019411</v>
      </c>
      <c r="Y20" s="40">
        <v>12748</v>
      </c>
      <c r="Z20" s="40">
        <v>472</v>
      </c>
      <c r="AA20" s="40">
        <v>5317</v>
      </c>
      <c r="AB20" s="40">
        <v>8877</v>
      </c>
      <c r="AC20" s="38">
        <v>9719</v>
      </c>
      <c r="AD20" s="40">
        <v>347</v>
      </c>
      <c r="AE20" s="40">
        <v>3957</v>
      </c>
      <c r="AF20" s="39">
        <v>6498</v>
      </c>
      <c r="AG20" s="38">
        <f t="shared" si="6"/>
        <v>411.20311464546057</v>
      </c>
      <c r="AH20" s="39">
        <f t="shared" si="7"/>
        <v>3.5016910850007155</v>
      </c>
      <c r="AI20" s="40">
        <f t="shared" si="8"/>
        <v>101978.37243207422</v>
      </c>
      <c r="AJ20" s="39">
        <f t="shared" si="9"/>
        <v>868.41938908017744</v>
      </c>
    </row>
    <row r="21" spans="1:36">
      <c r="A21" s="41" t="s">
        <v>71</v>
      </c>
      <c r="B21" s="42" t="s">
        <v>72</v>
      </c>
      <c r="C21" s="43" t="s">
        <v>51</v>
      </c>
      <c r="D21" s="43"/>
      <c r="E21" s="41">
        <v>56.004505199999997</v>
      </c>
      <c r="F21" s="42">
        <v>-132.81317100000001</v>
      </c>
      <c r="G21" s="44">
        <f t="shared" si="10"/>
        <v>6.0000000000000053E-2</v>
      </c>
      <c r="H21" s="27">
        <v>0.94</v>
      </c>
      <c r="I21" s="45">
        <v>0.30149999999999999</v>
      </c>
      <c r="J21" s="40">
        <v>5.5</v>
      </c>
      <c r="K21" s="40">
        <v>125</v>
      </c>
      <c r="L21" s="46">
        <f t="shared" si="1"/>
        <v>1.3425557966189074E-3</v>
      </c>
      <c r="M21" s="27">
        <f>VLOOKUP(B21, 'Region Breakdown'!$A$2:$H$98, 8, FALSE)</f>
        <v>0.5474</v>
      </c>
      <c r="N21" s="38">
        <v>205</v>
      </c>
      <c r="O21" s="40">
        <v>82</v>
      </c>
      <c r="P21" s="40">
        <f>VLOOKUP(B21, 'Region Breakdown'!$A$2:$K$98, 11, FALSE)</f>
        <v>1258</v>
      </c>
      <c r="Q21" s="27">
        <f>VLOOKUP(B21, 'Region Breakdown'!$A$2:$M$98, 13, FALSE)</f>
        <v>0.3053582956746288</v>
      </c>
      <c r="R21" s="27">
        <f>VLOOKUP(B21, 'Region Breakdown'!$A$2:$N$98, 14, FALSE)</f>
        <v>0.77</v>
      </c>
      <c r="S21" s="27">
        <f t="shared" si="2"/>
        <v>0.53767914783731441</v>
      </c>
      <c r="T21" s="27">
        <f t="shared" si="3"/>
        <v>0.46232085216268559</v>
      </c>
      <c r="U21" s="47">
        <f>VLOOKUP(B21, 'Region Breakdown'!$A$2:$P$98, 16, FALSE)</f>
        <v>0.43771626297577854</v>
      </c>
      <c r="V21" s="48">
        <f t="shared" si="4"/>
        <v>35.892733564013838</v>
      </c>
      <c r="W21" s="27">
        <f>VLOOKUP(B21, 'Region Breakdown'!$A$2:$R$98, 18, FALSE)</f>
        <v>0.13970588235294118</v>
      </c>
      <c r="X21" s="49">
        <f t="shared" si="5"/>
        <v>11.455882352941178</v>
      </c>
      <c r="Y21" s="40">
        <v>10236</v>
      </c>
      <c r="Z21" s="40">
        <v>432</v>
      </c>
      <c r="AA21" s="40">
        <v>4722</v>
      </c>
      <c r="AB21" s="40">
        <v>8641</v>
      </c>
      <c r="AC21" s="38">
        <v>7566</v>
      </c>
      <c r="AD21" s="40">
        <v>313</v>
      </c>
      <c r="AE21" s="40">
        <v>3456</v>
      </c>
      <c r="AF21" s="39">
        <v>6252</v>
      </c>
      <c r="AG21" s="38">
        <f t="shared" si="6"/>
        <v>376.98381859264043</v>
      </c>
      <c r="AH21" s="39">
        <f t="shared" si="7"/>
        <v>3.4185031315016912</v>
      </c>
      <c r="AI21" s="40">
        <f t="shared" si="8"/>
        <v>30912.673124596517</v>
      </c>
      <c r="AJ21" s="39">
        <f t="shared" si="9"/>
        <v>280.3172567831387</v>
      </c>
    </row>
    <row r="22" spans="1:36">
      <c r="A22" s="41" t="s">
        <v>73</v>
      </c>
      <c r="B22" s="42" t="s">
        <v>72</v>
      </c>
      <c r="C22" s="43" t="s">
        <v>51</v>
      </c>
      <c r="D22" s="43"/>
      <c r="E22" s="41">
        <v>55.47607</v>
      </c>
      <c r="F22" s="42">
        <v>-133.13816800000001</v>
      </c>
      <c r="G22" s="44">
        <f t="shared" si="10"/>
        <v>6.0000000000000053E-2</v>
      </c>
      <c r="H22" s="27">
        <v>0.94</v>
      </c>
      <c r="I22" s="45">
        <v>0.30149999999999999</v>
      </c>
      <c r="J22" s="40">
        <v>6.19</v>
      </c>
      <c r="K22" s="40">
        <v>1020</v>
      </c>
      <c r="L22" s="46">
        <f t="shared" si="1"/>
        <v>1.0955255300410286E-2</v>
      </c>
      <c r="M22" s="27">
        <f>VLOOKUP(B22, 'Region Breakdown'!$A$2:$H$98, 8, FALSE)</f>
        <v>0.5474</v>
      </c>
      <c r="N22" s="38">
        <v>589</v>
      </c>
      <c r="O22" s="40">
        <v>489</v>
      </c>
      <c r="P22" s="40">
        <f>VLOOKUP(B22, 'Region Breakdown'!$A$2:$K$98, 11, FALSE)</f>
        <v>1258</v>
      </c>
      <c r="Q22" s="27">
        <f>VLOOKUP(B22, 'Region Breakdown'!$A$2:$M$98, 13, FALSE)</f>
        <v>0.3053582956746288</v>
      </c>
      <c r="R22" s="27">
        <f>VLOOKUP(B22, 'Region Breakdown'!$A$2:$N$98, 14, FALSE)</f>
        <v>0.77</v>
      </c>
      <c r="S22" s="27">
        <f t="shared" si="2"/>
        <v>0.53767914783731441</v>
      </c>
      <c r="T22" s="27">
        <f t="shared" si="3"/>
        <v>0.46232085216268559</v>
      </c>
      <c r="U22" s="47">
        <f>VLOOKUP(B22, 'Region Breakdown'!$A$2:$P$98, 16, FALSE)</f>
        <v>0.43771626297577854</v>
      </c>
      <c r="V22" s="48">
        <f t="shared" si="4"/>
        <v>214.04325259515571</v>
      </c>
      <c r="W22" s="27">
        <f>VLOOKUP(B22, 'Region Breakdown'!$A$2:$R$98, 18, FALSE)</f>
        <v>0.13970588235294118</v>
      </c>
      <c r="X22" s="49">
        <f t="shared" si="5"/>
        <v>68.316176470588232</v>
      </c>
      <c r="Y22" s="40">
        <v>10128</v>
      </c>
      <c r="Z22" s="40">
        <v>397</v>
      </c>
      <c r="AA22" s="40">
        <v>4230</v>
      </c>
      <c r="AB22" s="40">
        <v>7961</v>
      </c>
      <c r="AC22" s="38">
        <v>7435</v>
      </c>
      <c r="AD22" s="40">
        <v>284</v>
      </c>
      <c r="AE22" s="40">
        <v>3054</v>
      </c>
      <c r="AF22" s="39">
        <v>5695</v>
      </c>
      <c r="AG22" s="38">
        <f t="shared" si="6"/>
        <v>344.75774370561652</v>
      </c>
      <c r="AH22" s="39">
        <f t="shared" si="7"/>
        <v>3.1358542914185152</v>
      </c>
      <c r="AI22" s="40">
        <f t="shared" si="8"/>
        <v>168586.53667204647</v>
      </c>
      <c r="AJ22" s="39">
        <f t="shared" si="9"/>
        <v>1533.432748503654</v>
      </c>
    </row>
    <row r="23" spans="1:36">
      <c r="A23" s="41" t="s">
        <v>74</v>
      </c>
      <c r="B23" s="42" t="s">
        <v>72</v>
      </c>
      <c r="C23" s="43" t="s">
        <v>51</v>
      </c>
      <c r="D23" s="43"/>
      <c r="E23" s="41">
        <v>55.483585400000003</v>
      </c>
      <c r="F23" s="42">
        <v>-132.66990000000001</v>
      </c>
      <c r="G23" s="44">
        <f t="shared" si="10"/>
        <v>6.0000000000000053E-2</v>
      </c>
      <c r="H23" s="27">
        <v>0.94</v>
      </c>
      <c r="I23" s="40">
        <v>0.25740000000000002</v>
      </c>
      <c r="J23" s="40">
        <v>5.79</v>
      </c>
      <c r="K23" s="40">
        <v>138</v>
      </c>
      <c r="L23" s="46">
        <f t="shared" si="1"/>
        <v>1.4821815994672739E-3</v>
      </c>
      <c r="M23" s="27">
        <f>VLOOKUP(B23, 'Region Breakdown'!$A$2:$H$98, 8, FALSE)</f>
        <v>0.5474</v>
      </c>
      <c r="N23" s="38">
        <v>83</v>
      </c>
      <c r="O23" s="40">
        <v>83</v>
      </c>
      <c r="P23" s="40">
        <f>VLOOKUP(B23, 'Region Breakdown'!$A$2:$K$98, 11, FALSE)</f>
        <v>1258</v>
      </c>
      <c r="Q23" s="27">
        <f>VLOOKUP(B23, 'Region Breakdown'!$A$2:$M$98, 13, FALSE)</f>
        <v>0.3053582956746288</v>
      </c>
      <c r="R23" s="27">
        <f>VLOOKUP(B23, 'Region Breakdown'!$A$2:$N$98, 14, FALSE)</f>
        <v>0.77</v>
      </c>
      <c r="S23" s="27">
        <f t="shared" si="2"/>
        <v>0.53767914783731441</v>
      </c>
      <c r="T23" s="27">
        <f t="shared" si="3"/>
        <v>0.46232085216268559</v>
      </c>
      <c r="U23" s="47">
        <f>VLOOKUP(B23, 'Region Breakdown'!$A$2:$P$98, 16, FALSE)</f>
        <v>0.43771626297577854</v>
      </c>
      <c r="V23" s="48">
        <f t="shared" si="4"/>
        <v>36.330449826989621</v>
      </c>
      <c r="W23" s="27">
        <f>VLOOKUP(B23, 'Region Breakdown'!$A$2:$R$98, 18, FALSE)</f>
        <v>0.13970588235294118</v>
      </c>
      <c r="X23" s="49">
        <f t="shared" si="5"/>
        <v>11.595588235294118</v>
      </c>
      <c r="Y23" s="40">
        <v>9974</v>
      </c>
      <c r="Z23" s="40">
        <v>397</v>
      </c>
      <c r="AA23" s="40">
        <v>4230</v>
      </c>
      <c r="AB23" s="40">
        <v>7961</v>
      </c>
      <c r="AC23" s="38">
        <v>7337</v>
      </c>
      <c r="AD23" s="40">
        <v>284</v>
      </c>
      <c r="AE23" s="40">
        <v>3054</v>
      </c>
      <c r="AF23" s="39">
        <v>5695</v>
      </c>
      <c r="AG23" s="38">
        <f t="shared" si="6"/>
        <v>344.75774370561652</v>
      </c>
      <c r="AH23" s="39">
        <f t="shared" si="7"/>
        <v>3.1358542914185152</v>
      </c>
      <c r="AI23" s="40">
        <f t="shared" si="8"/>
        <v>28614.89272756617</v>
      </c>
      <c r="AJ23" s="39">
        <f t="shared" si="9"/>
        <v>260.27590618773678</v>
      </c>
    </row>
    <row r="24" spans="1:36">
      <c r="A24" s="41" t="s">
        <v>75</v>
      </c>
      <c r="B24" s="42" t="s">
        <v>72</v>
      </c>
      <c r="C24" s="43" t="s">
        <v>51</v>
      </c>
      <c r="D24" s="43"/>
      <c r="E24" s="41">
        <v>55.207349999999998</v>
      </c>
      <c r="F24" s="42">
        <v>-132.82458500000001</v>
      </c>
      <c r="G24" s="44">
        <f t="shared" si="10"/>
        <v>6.0000000000000053E-2</v>
      </c>
      <c r="H24" s="27">
        <v>0.94</v>
      </c>
      <c r="I24" s="40">
        <v>0.27289999999999998</v>
      </c>
      <c r="J24" s="40">
        <v>4.2</v>
      </c>
      <c r="K24" s="40">
        <v>374</v>
      </c>
      <c r="L24" s="46">
        <f t="shared" si="1"/>
        <v>4.0169269434837708E-3</v>
      </c>
      <c r="M24" s="27">
        <f>VLOOKUP(B24, 'Region Breakdown'!$A$2:$H$98, 8, FALSE)</f>
        <v>0.5474</v>
      </c>
      <c r="N24" s="38">
        <v>150</v>
      </c>
      <c r="O24" s="40">
        <v>125</v>
      </c>
      <c r="P24" s="40">
        <f>VLOOKUP(B24, 'Region Breakdown'!$A$2:$K$98, 11, FALSE)</f>
        <v>1258</v>
      </c>
      <c r="Q24" s="27">
        <f>VLOOKUP(B24, 'Region Breakdown'!$A$2:$M$98, 13, FALSE)</f>
        <v>0.3053582956746288</v>
      </c>
      <c r="R24" s="27">
        <f>VLOOKUP(B24, 'Region Breakdown'!$A$2:$N$98, 14, FALSE)</f>
        <v>0.77</v>
      </c>
      <c r="S24" s="27">
        <f t="shared" si="2"/>
        <v>0.53767914783731441</v>
      </c>
      <c r="T24" s="27">
        <f t="shared" si="3"/>
        <v>0.46232085216268559</v>
      </c>
      <c r="U24" s="47">
        <f>VLOOKUP(B24, 'Region Breakdown'!$A$2:$P$98, 16, FALSE)</f>
        <v>0.43771626297577854</v>
      </c>
      <c r="V24" s="48">
        <f t="shared" si="4"/>
        <v>54.714532871972317</v>
      </c>
      <c r="W24" s="27">
        <f>VLOOKUP(B24, 'Region Breakdown'!$A$2:$R$98, 18, FALSE)</f>
        <v>0.13970588235294118</v>
      </c>
      <c r="X24" s="49">
        <f t="shared" si="5"/>
        <v>17.463235294117649</v>
      </c>
      <c r="Y24" s="40">
        <v>10573</v>
      </c>
      <c r="Z24" s="40">
        <v>397</v>
      </c>
      <c r="AA24" s="40">
        <v>4230</v>
      </c>
      <c r="AB24" s="40">
        <v>7961</v>
      </c>
      <c r="AC24" s="38">
        <v>7777</v>
      </c>
      <c r="AD24" s="40">
        <v>284</v>
      </c>
      <c r="AE24" s="40">
        <v>3054</v>
      </c>
      <c r="AF24" s="39">
        <v>5695</v>
      </c>
      <c r="AG24" s="38">
        <f t="shared" si="6"/>
        <v>344.75774370561652</v>
      </c>
      <c r="AH24" s="39">
        <f t="shared" si="7"/>
        <v>3.1358542914185152</v>
      </c>
      <c r="AI24" s="40">
        <f t="shared" si="8"/>
        <v>43094.717963202063</v>
      </c>
      <c r="AJ24" s="39">
        <f t="shared" si="9"/>
        <v>391.98178642731443</v>
      </c>
    </row>
    <row r="25" spans="1:36">
      <c r="A25" s="41" t="s">
        <v>76</v>
      </c>
      <c r="B25" s="42" t="s">
        <v>72</v>
      </c>
      <c r="C25" s="43" t="s">
        <v>51</v>
      </c>
      <c r="D25" s="43"/>
      <c r="E25" s="41">
        <v>55.543889999999998</v>
      </c>
      <c r="F25" s="42">
        <v>-132.411957</v>
      </c>
      <c r="G25" s="44">
        <f t="shared" si="10"/>
        <v>6.0000000000000053E-2</v>
      </c>
      <c r="H25" s="27">
        <v>0.94</v>
      </c>
      <c r="I25" s="40">
        <v>0.25740000000000002</v>
      </c>
      <c r="J25" s="40">
        <v>4.8899999999999997</v>
      </c>
      <c r="K25" s="40">
        <v>28</v>
      </c>
      <c r="L25" s="46">
        <f t="shared" si="1"/>
        <v>3.0073249844263526E-4</v>
      </c>
      <c r="M25" s="27">
        <f>VLOOKUP(B25, 'Region Breakdown'!$A$2:$H$98, 8, FALSE)</f>
        <v>0.5474</v>
      </c>
      <c r="N25" s="38">
        <v>39</v>
      </c>
      <c r="O25" s="40">
        <v>32</v>
      </c>
      <c r="P25" s="40">
        <f>VLOOKUP(B25, 'Region Breakdown'!$A$2:$K$98, 11, FALSE)</f>
        <v>1258</v>
      </c>
      <c r="Q25" s="27">
        <f>VLOOKUP(B25, 'Region Breakdown'!$A$2:$M$98, 13, FALSE)</f>
        <v>0.3053582956746288</v>
      </c>
      <c r="R25" s="27">
        <f>VLOOKUP(B25, 'Region Breakdown'!$A$2:$N$98, 14, FALSE)</f>
        <v>0.77</v>
      </c>
      <c r="S25" s="27">
        <f t="shared" si="2"/>
        <v>0.53767914783731441</v>
      </c>
      <c r="T25" s="27">
        <f t="shared" si="3"/>
        <v>0.46232085216268559</v>
      </c>
      <c r="U25" s="47">
        <f>VLOOKUP(B25, 'Region Breakdown'!$A$2:$P$98, 16, FALSE)</f>
        <v>0.43771626297577854</v>
      </c>
      <c r="V25" s="48">
        <f t="shared" si="4"/>
        <v>14.006920415224913</v>
      </c>
      <c r="W25" s="27">
        <f>VLOOKUP(B25, 'Region Breakdown'!$A$2:$R$98, 18, FALSE)</f>
        <v>0.13970588235294118</v>
      </c>
      <c r="X25" s="49">
        <f t="shared" si="5"/>
        <v>4.4705882352941178</v>
      </c>
      <c r="Y25" s="40">
        <v>9974</v>
      </c>
      <c r="Z25" s="40">
        <v>397</v>
      </c>
      <c r="AA25" s="40">
        <v>4230</v>
      </c>
      <c r="AB25" s="40">
        <v>7961</v>
      </c>
      <c r="AC25" s="38">
        <v>7337</v>
      </c>
      <c r="AD25" s="40">
        <v>284</v>
      </c>
      <c r="AE25" s="40">
        <v>3054</v>
      </c>
      <c r="AF25" s="39">
        <v>5695</v>
      </c>
      <c r="AG25" s="38">
        <f t="shared" si="6"/>
        <v>344.75774370561652</v>
      </c>
      <c r="AH25" s="39">
        <f t="shared" si="7"/>
        <v>3.1358542914185152</v>
      </c>
      <c r="AI25" s="40">
        <f t="shared" si="8"/>
        <v>11032.247798579729</v>
      </c>
      <c r="AJ25" s="39">
        <f t="shared" si="9"/>
        <v>100.34733732539249</v>
      </c>
    </row>
    <row r="26" spans="1:36">
      <c r="A26" s="41" t="s">
        <v>77</v>
      </c>
      <c r="B26" s="42" t="s">
        <v>72</v>
      </c>
      <c r="C26" s="43" t="s">
        <v>51</v>
      </c>
      <c r="D26" s="43"/>
      <c r="E26" s="41">
        <v>55.554786700000001</v>
      </c>
      <c r="F26" s="42">
        <v>-133.08764600000001</v>
      </c>
      <c r="G26" s="44">
        <f t="shared" si="10"/>
        <v>6.0000000000000053E-2</v>
      </c>
      <c r="H26" s="27">
        <v>0.94</v>
      </c>
      <c r="I26" s="40">
        <v>0.30149999999999999</v>
      </c>
      <c r="J26" s="40">
        <v>5.49</v>
      </c>
      <c r="K26" s="40">
        <v>705</v>
      </c>
      <c r="L26" s="46">
        <f t="shared" si="1"/>
        <v>7.5720146929306384E-3</v>
      </c>
      <c r="M26" s="27">
        <f>VLOOKUP(B26, 'Region Breakdown'!$A$2:$H$98, 8, FALSE)</f>
        <v>0.5474</v>
      </c>
      <c r="N26" s="38">
        <v>382</v>
      </c>
      <c r="O26" s="40">
        <v>312</v>
      </c>
      <c r="P26" s="40">
        <f>VLOOKUP(B26, 'Region Breakdown'!$A$2:$K$98, 11, FALSE)</f>
        <v>1258</v>
      </c>
      <c r="Q26" s="27">
        <f>VLOOKUP(B26, 'Region Breakdown'!$A$2:$M$98, 13, FALSE)</f>
        <v>0.3053582956746288</v>
      </c>
      <c r="R26" s="27">
        <f>VLOOKUP(B26, 'Region Breakdown'!$A$2:$N$98, 14, FALSE)</f>
        <v>0.77</v>
      </c>
      <c r="S26" s="27">
        <f t="shared" si="2"/>
        <v>0.53767914783731441</v>
      </c>
      <c r="T26" s="27">
        <f t="shared" si="3"/>
        <v>0.46232085216268559</v>
      </c>
      <c r="U26" s="47">
        <f>VLOOKUP(B26, 'Region Breakdown'!$A$2:$P$98, 16, FALSE)</f>
        <v>0.43771626297577854</v>
      </c>
      <c r="V26" s="48">
        <f t="shared" si="4"/>
        <v>136.5674740484429</v>
      </c>
      <c r="W26" s="27">
        <f>VLOOKUP(B26, 'Region Breakdown'!$A$2:$R$98, 18, FALSE)</f>
        <v>0.13970588235294118</v>
      </c>
      <c r="X26" s="49">
        <f t="shared" si="5"/>
        <v>43.588235294117645</v>
      </c>
      <c r="Y26" s="40">
        <v>10523</v>
      </c>
      <c r="Z26" s="40">
        <v>397</v>
      </c>
      <c r="AA26" s="40">
        <v>4230</v>
      </c>
      <c r="AB26" s="40">
        <v>7961</v>
      </c>
      <c r="AC26" s="38">
        <v>7741</v>
      </c>
      <c r="AD26" s="40">
        <v>284</v>
      </c>
      <c r="AE26" s="40">
        <v>3054</v>
      </c>
      <c r="AF26" s="39">
        <v>5695</v>
      </c>
      <c r="AG26" s="38">
        <f t="shared" si="6"/>
        <v>344.75774370561652</v>
      </c>
      <c r="AH26" s="39">
        <f t="shared" si="7"/>
        <v>3.1358542914185152</v>
      </c>
      <c r="AI26" s="40">
        <f t="shared" si="8"/>
        <v>107564.41603615235</v>
      </c>
      <c r="AJ26" s="39">
        <f t="shared" si="9"/>
        <v>978.38653892257673</v>
      </c>
    </row>
    <row r="27" spans="1:36">
      <c r="A27" s="41" t="s">
        <v>78</v>
      </c>
      <c r="B27" s="42" t="s">
        <v>72</v>
      </c>
      <c r="C27" s="43" t="s">
        <v>51</v>
      </c>
      <c r="D27" s="43"/>
      <c r="E27" s="41">
        <v>55.872999999999998</v>
      </c>
      <c r="F27" s="42">
        <v>-133.20660000000001</v>
      </c>
      <c r="G27" s="44">
        <f t="shared" si="10"/>
        <v>6.0000000000000053E-2</v>
      </c>
      <c r="H27" s="27">
        <v>0.94</v>
      </c>
      <c r="I27" s="40">
        <v>0.30149999999999999</v>
      </c>
      <c r="J27" s="40">
        <v>6</v>
      </c>
      <c r="K27" s="40">
        <v>120</v>
      </c>
      <c r="L27" s="46">
        <f t="shared" si="1"/>
        <v>1.2888535647541512E-3</v>
      </c>
      <c r="M27" s="27">
        <f>VLOOKUP(B27, 'Region Breakdown'!$A$2:$H$98, 8, FALSE)</f>
        <v>0.5474</v>
      </c>
      <c r="N27" s="38">
        <v>58</v>
      </c>
      <c r="O27" s="40">
        <v>52</v>
      </c>
      <c r="P27" s="40">
        <f>VLOOKUP(B27, 'Region Breakdown'!$A$2:$K$98, 11, FALSE)</f>
        <v>1258</v>
      </c>
      <c r="Q27" s="27">
        <f>VLOOKUP(B27, 'Region Breakdown'!$A$2:$M$98, 13, FALSE)</f>
        <v>0.3053582956746288</v>
      </c>
      <c r="R27" s="27">
        <f>VLOOKUP(B27, 'Region Breakdown'!$A$2:$N$98, 14, FALSE)</f>
        <v>0.77</v>
      </c>
      <c r="S27" s="27">
        <f t="shared" si="2"/>
        <v>0.53767914783731441</v>
      </c>
      <c r="T27" s="27">
        <f t="shared" si="3"/>
        <v>0.46232085216268559</v>
      </c>
      <c r="U27" s="47">
        <f>VLOOKUP(B27, 'Region Breakdown'!$A$2:$P$98, 16, FALSE)</f>
        <v>0.43771626297577854</v>
      </c>
      <c r="V27" s="48">
        <f t="shared" si="4"/>
        <v>22.761245674740483</v>
      </c>
      <c r="W27" s="27">
        <f>VLOOKUP(B27, 'Region Breakdown'!$A$2:$R$98, 18, FALSE)</f>
        <v>0.13970588235294118</v>
      </c>
      <c r="X27" s="49">
        <f t="shared" si="5"/>
        <v>7.2647058823529411</v>
      </c>
      <c r="Y27" s="40">
        <v>9927</v>
      </c>
      <c r="Z27" s="40">
        <v>397</v>
      </c>
      <c r="AA27" s="40">
        <v>4230</v>
      </c>
      <c r="AB27" s="40">
        <v>7961</v>
      </c>
      <c r="AC27" s="38">
        <v>7304</v>
      </c>
      <c r="AD27" s="40">
        <v>284</v>
      </c>
      <c r="AE27" s="40">
        <v>3054</v>
      </c>
      <c r="AF27" s="39">
        <v>5695</v>
      </c>
      <c r="AG27" s="38">
        <f t="shared" si="6"/>
        <v>344.75774370561652</v>
      </c>
      <c r="AH27" s="39">
        <f t="shared" si="7"/>
        <v>3.1358542914185152</v>
      </c>
      <c r="AI27" s="40">
        <f t="shared" si="8"/>
        <v>17927.40267269206</v>
      </c>
      <c r="AJ27" s="39">
        <f t="shared" si="9"/>
        <v>163.06442315376279</v>
      </c>
    </row>
    <row r="28" spans="1:36">
      <c r="A28" s="41" t="s">
        <v>79</v>
      </c>
      <c r="B28" s="42" t="s">
        <v>72</v>
      </c>
      <c r="C28" s="43" t="s">
        <v>51</v>
      </c>
      <c r="D28" s="43"/>
      <c r="E28" s="41">
        <v>55.673430000000003</v>
      </c>
      <c r="F28" s="42">
        <v>-132.52507</v>
      </c>
      <c r="G28" s="44">
        <f t="shared" si="10"/>
        <v>6.0000000000000053E-2</v>
      </c>
      <c r="H28" s="27">
        <v>0.94</v>
      </c>
      <c r="I28" s="40">
        <v>0.30149999999999999</v>
      </c>
      <c r="J28" s="40">
        <v>5.26</v>
      </c>
      <c r="K28" s="40">
        <v>466</v>
      </c>
      <c r="L28" s="46">
        <f t="shared" si="1"/>
        <v>5.0050480097952868E-3</v>
      </c>
      <c r="M28" s="27">
        <f>VLOOKUP(B28, 'Region Breakdown'!$A$2:$H$98, 8, FALSE)</f>
        <v>0.5474</v>
      </c>
      <c r="N28" s="38">
        <v>330</v>
      </c>
      <c r="O28" s="40">
        <v>227</v>
      </c>
      <c r="P28" s="40">
        <f>VLOOKUP(B28, 'Region Breakdown'!$A$2:$K$98, 11, FALSE)</f>
        <v>1258</v>
      </c>
      <c r="Q28" s="27">
        <f>VLOOKUP(B28, 'Region Breakdown'!$A$2:$M$98, 13, FALSE)</f>
        <v>0.3053582956746288</v>
      </c>
      <c r="R28" s="27">
        <f>VLOOKUP(B28, 'Region Breakdown'!$A$2:$N$98, 14, FALSE)</f>
        <v>0.77</v>
      </c>
      <c r="S28" s="27">
        <f t="shared" si="2"/>
        <v>0.53767914783731441</v>
      </c>
      <c r="T28" s="27">
        <f t="shared" si="3"/>
        <v>0.46232085216268559</v>
      </c>
      <c r="U28" s="47">
        <f>VLOOKUP(B28, 'Region Breakdown'!$A$2:$P$98, 16, FALSE)</f>
        <v>0.43771626297577854</v>
      </c>
      <c r="V28" s="48">
        <f t="shared" si="4"/>
        <v>99.36159169550173</v>
      </c>
      <c r="W28" s="27">
        <f>VLOOKUP(B28, 'Region Breakdown'!$A$2:$R$98, 18, FALSE)</f>
        <v>0.13970588235294118</v>
      </c>
      <c r="X28" s="49">
        <f t="shared" si="5"/>
        <v>31.713235294117649</v>
      </c>
      <c r="Y28" s="40">
        <v>10573</v>
      </c>
      <c r="Z28" s="40">
        <v>397</v>
      </c>
      <c r="AA28" s="40">
        <v>4230</v>
      </c>
      <c r="AB28" s="40">
        <v>7961</v>
      </c>
      <c r="AC28" s="38">
        <v>7777</v>
      </c>
      <c r="AD28" s="40">
        <v>284</v>
      </c>
      <c r="AE28" s="40">
        <v>3054</v>
      </c>
      <c r="AF28" s="39">
        <v>5695</v>
      </c>
      <c r="AG28" s="38">
        <f t="shared" si="6"/>
        <v>344.75774370561652</v>
      </c>
      <c r="AH28" s="39">
        <f t="shared" si="7"/>
        <v>3.1358542914185152</v>
      </c>
      <c r="AI28" s="40">
        <f t="shared" si="8"/>
        <v>78260.00782117495</v>
      </c>
      <c r="AJ28" s="39">
        <f t="shared" si="9"/>
        <v>711.83892415200296</v>
      </c>
    </row>
    <row r="29" spans="1:36">
      <c r="A29" s="41" t="s">
        <v>80</v>
      </c>
      <c r="B29" s="42" t="s">
        <v>72</v>
      </c>
      <c r="C29" s="43" t="s">
        <v>51</v>
      </c>
      <c r="D29" s="43"/>
      <c r="E29" s="41">
        <v>55.978538999999998</v>
      </c>
      <c r="F29" s="42">
        <v>-133.676356</v>
      </c>
      <c r="G29" s="44">
        <f t="shared" si="10"/>
        <v>1</v>
      </c>
      <c r="H29" s="27">
        <v>0</v>
      </c>
      <c r="I29" s="40"/>
      <c r="J29" s="40">
        <v>5.17</v>
      </c>
      <c r="K29" s="40">
        <v>25</v>
      </c>
      <c r="L29" s="46">
        <f t="shared" si="1"/>
        <v>2.6851115932378152E-4</v>
      </c>
      <c r="M29" s="27">
        <f>VLOOKUP(B29, 'Region Breakdown'!$A$2:$H$98, 8, FALSE)</f>
        <v>0.5474</v>
      </c>
      <c r="N29" s="38">
        <v>36</v>
      </c>
      <c r="O29" s="40">
        <v>16</v>
      </c>
      <c r="P29" s="40">
        <f>VLOOKUP(B29, 'Region Breakdown'!$A$2:$K$98, 11, FALSE)</f>
        <v>1258</v>
      </c>
      <c r="Q29" s="27">
        <f>VLOOKUP(B29, 'Region Breakdown'!$A$2:$M$98, 13, FALSE)</f>
        <v>0.3053582956746288</v>
      </c>
      <c r="R29" s="27">
        <f>VLOOKUP(B29, 'Region Breakdown'!$A$2:$N$98, 14, FALSE)</f>
        <v>0.77</v>
      </c>
      <c r="S29" s="27">
        <f t="shared" si="2"/>
        <v>0.53767914783731441</v>
      </c>
      <c r="T29" s="27">
        <f t="shared" si="3"/>
        <v>0.46232085216268559</v>
      </c>
      <c r="U29" s="47">
        <f>VLOOKUP(B29, 'Region Breakdown'!$A$2:$P$98, 16, FALSE)</f>
        <v>0.43771626297577854</v>
      </c>
      <c r="V29" s="48">
        <f t="shared" si="4"/>
        <v>7.0034602076124566</v>
      </c>
      <c r="W29" s="27">
        <f>VLOOKUP(B29, 'Region Breakdown'!$A$2:$R$98, 18, FALSE)</f>
        <v>0.13970588235294118</v>
      </c>
      <c r="X29" s="49">
        <f t="shared" si="5"/>
        <v>2.2352941176470589</v>
      </c>
      <c r="Y29" s="40">
        <v>9927</v>
      </c>
      <c r="Z29" s="40">
        <v>397</v>
      </c>
      <c r="AA29" s="40">
        <v>4230</v>
      </c>
      <c r="AB29" s="40">
        <v>7961</v>
      </c>
      <c r="AC29" s="38">
        <v>7304</v>
      </c>
      <c r="AD29" s="40">
        <v>284</v>
      </c>
      <c r="AE29" s="40">
        <v>3054</v>
      </c>
      <c r="AF29" s="39">
        <v>5695</v>
      </c>
      <c r="AG29" s="38">
        <f t="shared" si="6"/>
        <v>344.75774370561652</v>
      </c>
      <c r="AH29" s="39">
        <f t="shared" si="7"/>
        <v>3.1358542914185152</v>
      </c>
      <c r="AI29" s="40">
        <f t="shared" si="8"/>
        <v>5516.1238992898643</v>
      </c>
      <c r="AJ29" s="39">
        <f t="shared" si="9"/>
        <v>50.173668662696244</v>
      </c>
    </row>
    <row r="30" spans="1:36">
      <c r="A30" s="41" t="s">
        <v>81</v>
      </c>
      <c r="B30" s="42" t="s">
        <v>72</v>
      </c>
      <c r="C30" s="43" t="s">
        <v>51</v>
      </c>
      <c r="D30" s="43"/>
      <c r="E30" s="41">
        <v>55.919025400000002</v>
      </c>
      <c r="F30" s="42">
        <v>-130.02879999999999</v>
      </c>
      <c r="G30" s="44">
        <f t="shared" si="10"/>
        <v>1</v>
      </c>
      <c r="H30" s="27">
        <v>0</v>
      </c>
      <c r="I30" s="40"/>
      <c r="J30" s="40">
        <v>5.56</v>
      </c>
      <c r="K30" s="40">
        <v>16</v>
      </c>
      <c r="L30" s="46">
        <f t="shared" si="1"/>
        <v>1.7184714196722016E-4</v>
      </c>
      <c r="M30" s="27">
        <f>VLOOKUP(B30, 'Region Breakdown'!$A$2:$H$98, 8, FALSE)</f>
        <v>0.5474</v>
      </c>
      <c r="N30" s="38">
        <v>59</v>
      </c>
      <c r="O30" s="40">
        <v>16</v>
      </c>
      <c r="P30" s="40">
        <f>VLOOKUP(B30, 'Region Breakdown'!$A$2:$K$98, 11, FALSE)</f>
        <v>1258</v>
      </c>
      <c r="Q30" s="27">
        <f>VLOOKUP(B30, 'Region Breakdown'!$A$2:$M$98, 13, FALSE)</f>
        <v>0.3053582956746288</v>
      </c>
      <c r="R30" s="27">
        <f>VLOOKUP(B30, 'Region Breakdown'!$A$2:$N$98, 14, FALSE)</f>
        <v>0.77</v>
      </c>
      <c r="S30" s="27">
        <f t="shared" si="2"/>
        <v>0.53767914783731441</v>
      </c>
      <c r="T30" s="27">
        <f t="shared" si="3"/>
        <v>0.46232085216268559</v>
      </c>
      <c r="U30" s="47">
        <f>VLOOKUP(B30, 'Region Breakdown'!$A$2:$P$98, 16, FALSE)</f>
        <v>0.43771626297577854</v>
      </c>
      <c r="V30" s="48">
        <f t="shared" si="4"/>
        <v>7.0034602076124566</v>
      </c>
      <c r="W30" s="27">
        <f>VLOOKUP(B30, 'Region Breakdown'!$A$2:$R$98, 18, FALSE)</f>
        <v>0.13970588235294118</v>
      </c>
      <c r="X30" s="49">
        <f t="shared" si="5"/>
        <v>2.2352941176470589</v>
      </c>
      <c r="Y30" s="40">
        <v>9927</v>
      </c>
      <c r="Z30" s="40">
        <v>397</v>
      </c>
      <c r="AA30" s="40">
        <v>4230</v>
      </c>
      <c r="AB30" s="40">
        <v>7961</v>
      </c>
      <c r="AC30" s="38">
        <v>7304</v>
      </c>
      <c r="AD30" s="40">
        <v>284</v>
      </c>
      <c r="AE30" s="40">
        <v>3054</v>
      </c>
      <c r="AF30" s="39">
        <v>5695</v>
      </c>
      <c r="AG30" s="38">
        <f t="shared" si="6"/>
        <v>344.75774370561652</v>
      </c>
      <c r="AH30" s="39">
        <f t="shared" si="7"/>
        <v>3.1358542914185152</v>
      </c>
      <c r="AI30" s="40">
        <f t="shared" si="8"/>
        <v>5516.1238992898643</v>
      </c>
      <c r="AJ30" s="39">
        <f t="shared" si="9"/>
        <v>50.173668662696244</v>
      </c>
    </row>
    <row r="31" spans="1:36">
      <c r="A31" s="41" t="s">
        <v>82</v>
      </c>
      <c r="B31" s="42" t="s">
        <v>66</v>
      </c>
      <c r="C31" s="43" t="s">
        <v>67</v>
      </c>
      <c r="D31" s="43"/>
      <c r="E31" s="41">
        <v>59.6522942</v>
      </c>
      <c r="F31" s="42">
        <v>-151.53</v>
      </c>
      <c r="G31" s="44">
        <f t="shared" si="10"/>
        <v>0.83</v>
      </c>
      <c r="H31" s="27">
        <v>0.17</v>
      </c>
      <c r="I31" s="40">
        <v>0.27610000000000001</v>
      </c>
      <c r="J31" s="40">
        <v>5.44</v>
      </c>
      <c r="K31" s="40">
        <v>5880</v>
      </c>
      <c r="L31" s="46">
        <f t="shared" si="1"/>
        <v>6.3153824672953413E-2</v>
      </c>
      <c r="M31" s="27">
        <f>VLOOKUP(B31, 'Region Breakdown'!$A$2:$H$98, 8, FALSE)</f>
        <v>0.2467</v>
      </c>
      <c r="N31" s="38">
        <v>7940</v>
      </c>
      <c r="O31" s="40">
        <v>6462</v>
      </c>
      <c r="P31" s="40">
        <f>VLOOKUP(B31, 'Region Breakdown'!$A$2:$K$98, 11, FALSE)</f>
        <v>2006</v>
      </c>
      <c r="Q31" s="27">
        <f>VLOOKUP(B31, 'Region Breakdown'!$A$2:$M$98, 13, FALSE)</f>
        <v>0.3006085035463742</v>
      </c>
      <c r="R31" s="27">
        <f>VLOOKUP(B31, 'Region Breakdown'!$A$2:$N$98, 14, FALSE)</f>
        <v>0.28000000000000003</v>
      </c>
      <c r="S31" s="27">
        <f t="shared" si="2"/>
        <v>0.29030425177318708</v>
      </c>
      <c r="T31" s="27">
        <f t="shared" si="3"/>
        <v>0.70969574822681292</v>
      </c>
      <c r="U31" s="47">
        <f>VLOOKUP(B31, 'Region Breakdown'!$A$2:$P$98, 16, FALSE)</f>
        <v>0.7907259246847903</v>
      </c>
      <c r="V31" s="48">
        <f t="shared" si="4"/>
        <v>5109.6709253131148</v>
      </c>
      <c r="W31" s="27">
        <f>VLOOKUP(B31, 'Region Breakdown'!$A$2:$R$98, 18, FALSE)</f>
        <v>7.9085158966196126E-2</v>
      </c>
      <c r="X31" s="49">
        <f t="shared" si="5"/>
        <v>511.04829723955936</v>
      </c>
      <c r="Y31" s="40">
        <v>15779</v>
      </c>
      <c r="Z31" s="40">
        <v>758</v>
      </c>
      <c r="AA31" s="40">
        <v>8740</v>
      </c>
      <c r="AB31" s="40">
        <v>8059</v>
      </c>
      <c r="AC31" s="38">
        <v>11813</v>
      </c>
      <c r="AD31" s="40">
        <v>591</v>
      </c>
      <c r="AE31" s="40">
        <v>6977</v>
      </c>
      <c r="AF31" s="39">
        <v>6125</v>
      </c>
      <c r="AG31" s="38">
        <f t="shared" si="6"/>
        <v>639.48081004612231</v>
      </c>
      <c r="AH31" s="39">
        <f t="shared" si="7"/>
        <v>3.0329195130533666</v>
      </c>
      <c r="AI31" s="40">
        <f t="shared" si="8"/>
        <v>4132324.9945180425</v>
      </c>
      <c r="AJ31" s="39">
        <f t="shared" si="9"/>
        <v>19598.725893350856</v>
      </c>
    </row>
    <row r="32" spans="1:36">
      <c r="A32" s="41" t="s">
        <v>83</v>
      </c>
      <c r="B32" s="42" t="s">
        <v>66</v>
      </c>
      <c r="C32" s="43" t="s">
        <v>67</v>
      </c>
      <c r="D32" s="43"/>
      <c r="E32" s="41">
        <v>59.34948</v>
      </c>
      <c r="F32" s="42">
        <v>-151.83274800000001</v>
      </c>
      <c r="G32" s="44">
        <f t="shared" si="10"/>
        <v>0.83</v>
      </c>
      <c r="H32" s="27">
        <v>0.17</v>
      </c>
      <c r="I32" s="40">
        <v>0.25609999999999999</v>
      </c>
      <c r="J32" s="40">
        <v>4.8499999999999996</v>
      </c>
      <c r="K32" s="40">
        <v>142</v>
      </c>
      <c r="L32" s="46">
        <f t="shared" si="1"/>
        <v>1.5251433849590788E-3</v>
      </c>
      <c r="M32" s="27">
        <f>VLOOKUP(B32, 'Region Breakdown'!$A$2:$H$98, 8, FALSE)</f>
        <v>0.2467</v>
      </c>
      <c r="N32" s="38">
        <v>74</v>
      </c>
      <c r="O32" s="40">
        <v>45</v>
      </c>
      <c r="P32" s="40">
        <f>VLOOKUP(B32, 'Region Breakdown'!$A$2:$K$98, 11, FALSE)</f>
        <v>2006</v>
      </c>
      <c r="Q32" s="27">
        <f>VLOOKUP(B32, 'Region Breakdown'!$A$2:$M$98, 13, FALSE)</f>
        <v>0.3006085035463742</v>
      </c>
      <c r="R32" s="27">
        <f>VLOOKUP(B32, 'Region Breakdown'!$A$2:$N$98, 14, FALSE)</f>
        <v>0.28000000000000003</v>
      </c>
      <c r="S32" s="27">
        <f t="shared" si="2"/>
        <v>0.29030425177318708</v>
      </c>
      <c r="T32" s="27">
        <f t="shared" si="3"/>
        <v>0.70969574822681292</v>
      </c>
      <c r="U32" s="47">
        <f>VLOOKUP(B32, 'Region Breakdown'!$A$2:$P$98, 16, FALSE)</f>
        <v>0.7907259246847903</v>
      </c>
      <c r="V32" s="48">
        <f t="shared" si="4"/>
        <v>35.582666610815565</v>
      </c>
      <c r="W32" s="27">
        <f>VLOOKUP(B32, 'Region Breakdown'!$A$2:$R$98, 18, FALSE)</f>
        <v>7.9085158966196126E-2</v>
      </c>
      <c r="X32" s="49">
        <f t="shared" si="5"/>
        <v>3.5588321534788259</v>
      </c>
      <c r="Y32" s="40">
        <v>25024</v>
      </c>
      <c r="Z32" s="40">
        <v>758</v>
      </c>
      <c r="AA32" s="40">
        <v>8740</v>
      </c>
      <c r="AB32" s="40">
        <v>8059</v>
      </c>
      <c r="AC32" s="38">
        <v>19046</v>
      </c>
      <c r="AD32" s="40">
        <v>591</v>
      </c>
      <c r="AE32" s="40">
        <v>6977</v>
      </c>
      <c r="AF32" s="39">
        <v>6125</v>
      </c>
      <c r="AG32" s="38">
        <f t="shared" si="6"/>
        <v>639.48081004612231</v>
      </c>
      <c r="AH32" s="39">
        <f t="shared" si="7"/>
        <v>3.0329195130533666</v>
      </c>
      <c r="AI32" s="40">
        <f t="shared" si="8"/>
        <v>28776.636452075505</v>
      </c>
      <c r="AJ32" s="39">
        <f t="shared" si="9"/>
        <v>136.48137808740151</v>
      </c>
    </row>
    <row r="33" spans="1:36">
      <c r="A33" s="41" t="s">
        <v>84</v>
      </c>
      <c r="B33" s="42" t="s">
        <v>66</v>
      </c>
      <c r="C33" s="43" t="s">
        <v>67</v>
      </c>
      <c r="D33" s="43"/>
      <c r="E33" s="41">
        <v>59.43918</v>
      </c>
      <c r="F33" s="42">
        <v>-151.712219</v>
      </c>
      <c r="G33" s="44">
        <f t="shared" si="10"/>
        <v>0.83</v>
      </c>
      <c r="H33" s="27">
        <v>0.17</v>
      </c>
      <c r="I33" s="40">
        <v>0.25609999999999999</v>
      </c>
      <c r="J33" s="40">
        <v>7.36</v>
      </c>
      <c r="K33" s="40">
        <v>242</v>
      </c>
      <c r="L33" s="46">
        <f t="shared" si="1"/>
        <v>2.5991880222542051E-3</v>
      </c>
      <c r="M33" s="27">
        <f>VLOOKUP(B33, 'Region Breakdown'!$A$2:$H$98, 8, FALSE)</f>
        <v>0.2467</v>
      </c>
      <c r="N33" s="38">
        <v>189</v>
      </c>
      <c r="O33" s="40">
        <v>88</v>
      </c>
      <c r="P33" s="40">
        <f>VLOOKUP(B33, 'Region Breakdown'!$A$2:$K$98, 11, FALSE)</f>
        <v>2006</v>
      </c>
      <c r="Q33" s="27">
        <f>VLOOKUP(B33, 'Region Breakdown'!$A$2:$M$98, 13, FALSE)</f>
        <v>0.3006085035463742</v>
      </c>
      <c r="R33" s="27">
        <f>VLOOKUP(B33, 'Region Breakdown'!$A$2:$N$98, 14, FALSE)</f>
        <v>0.28000000000000003</v>
      </c>
      <c r="S33" s="27">
        <f t="shared" si="2"/>
        <v>0.29030425177318708</v>
      </c>
      <c r="T33" s="27">
        <f t="shared" si="3"/>
        <v>0.70969574822681292</v>
      </c>
      <c r="U33" s="47">
        <f>VLOOKUP(B33, 'Region Breakdown'!$A$2:$P$98, 16, FALSE)</f>
        <v>0.7907259246847903</v>
      </c>
      <c r="V33" s="48">
        <f t="shared" si="4"/>
        <v>69.583881372261544</v>
      </c>
      <c r="W33" s="27">
        <f>VLOOKUP(B33, 'Region Breakdown'!$A$2:$R$98, 18, FALSE)</f>
        <v>7.9085158966196126E-2</v>
      </c>
      <c r="X33" s="49">
        <f t="shared" si="5"/>
        <v>6.9594939890252592</v>
      </c>
      <c r="Y33" s="40">
        <v>32445</v>
      </c>
      <c r="Z33" s="40">
        <v>758</v>
      </c>
      <c r="AA33" s="40">
        <v>8740</v>
      </c>
      <c r="AB33" s="40">
        <v>8059</v>
      </c>
      <c r="AC33" s="38">
        <v>24818</v>
      </c>
      <c r="AD33" s="40">
        <v>591</v>
      </c>
      <c r="AE33" s="40">
        <v>6977</v>
      </c>
      <c r="AF33" s="39">
        <v>6125</v>
      </c>
      <c r="AG33" s="38">
        <f t="shared" si="6"/>
        <v>639.48081004612231</v>
      </c>
      <c r="AH33" s="39">
        <f t="shared" si="7"/>
        <v>3.0329195130533666</v>
      </c>
      <c r="AI33" s="40">
        <f t="shared" si="8"/>
        <v>56274.311284058764</v>
      </c>
      <c r="AJ33" s="39">
        <f t="shared" si="9"/>
        <v>266.89691714869628</v>
      </c>
    </row>
    <row r="34" spans="1:36">
      <c r="A34" s="41" t="s">
        <v>85</v>
      </c>
      <c r="B34" s="42" t="s">
        <v>66</v>
      </c>
      <c r="C34" s="43" t="s">
        <v>67</v>
      </c>
      <c r="D34" s="43"/>
      <c r="E34" s="41">
        <v>59.355464900000001</v>
      </c>
      <c r="F34" s="42">
        <v>-151.91984600000001</v>
      </c>
      <c r="G34" s="44">
        <f t="shared" si="10"/>
        <v>0.83</v>
      </c>
      <c r="H34" s="27">
        <v>0.17</v>
      </c>
      <c r="I34" s="40"/>
      <c r="J34" s="40">
        <v>5.57</v>
      </c>
      <c r="K34" s="40">
        <v>172</v>
      </c>
      <c r="L34" s="46">
        <f t="shared" si="1"/>
        <v>1.8473567761476167E-3</v>
      </c>
      <c r="M34" s="27">
        <f>VLOOKUP(B34, 'Region Breakdown'!$A$2:$H$98, 8, FALSE)</f>
        <v>0.2467</v>
      </c>
      <c r="N34" s="38">
        <v>57</v>
      </c>
      <c r="O34" s="40">
        <v>38</v>
      </c>
      <c r="P34" s="40">
        <f>VLOOKUP(B34, 'Region Breakdown'!$A$2:$K$98, 11, FALSE)</f>
        <v>2006</v>
      </c>
      <c r="Q34" s="27">
        <f>VLOOKUP(B34, 'Region Breakdown'!$A$2:$M$98, 13, FALSE)</f>
        <v>0.3006085035463742</v>
      </c>
      <c r="R34" s="27">
        <f>VLOOKUP(B34, 'Region Breakdown'!$A$2:$N$98, 14, FALSE)</f>
        <v>0.28000000000000003</v>
      </c>
      <c r="S34" s="27">
        <f t="shared" si="2"/>
        <v>0.29030425177318708</v>
      </c>
      <c r="T34" s="27">
        <f t="shared" si="3"/>
        <v>0.70969574822681292</v>
      </c>
      <c r="U34" s="47">
        <f>VLOOKUP(B34, 'Region Breakdown'!$A$2:$P$98, 16, FALSE)</f>
        <v>0.7907259246847903</v>
      </c>
      <c r="V34" s="48">
        <f t="shared" si="4"/>
        <v>30.047585138022033</v>
      </c>
      <c r="W34" s="27">
        <f>VLOOKUP(B34, 'Region Breakdown'!$A$2:$R$98, 18, FALSE)</f>
        <v>7.9085158966196126E-2</v>
      </c>
      <c r="X34" s="49">
        <f t="shared" si="5"/>
        <v>3.0052360407154528</v>
      </c>
      <c r="Y34" s="40">
        <v>25024</v>
      </c>
      <c r="Z34" s="40">
        <v>758</v>
      </c>
      <c r="AA34" s="40">
        <v>8740</v>
      </c>
      <c r="AB34" s="40">
        <v>8059</v>
      </c>
      <c r="AC34" s="38">
        <v>19046</v>
      </c>
      <c r="AD34" s="40">
        <v>591</v>
      </c>
      <c r="AE34" s="40">
        <v>6977</v>
      </c>
      <c r="AF34" s="39">
        <v>6125</v>
      </c>
      <c r="AG34" s="38">
        <f t="shared" si="6"/>
        <v>639.48081004612231</v>
      </c>
      <c r="AH34" s="39">
        <f t="shared" si="7"/>
        <v>3.0329195130533666</v>
      </c>
      <c r="AI34" s="40">
        <f t="shared" si="8"/>
        <v>24300.270781752646</v>
      </c>
      <c r="AJ34" s="39">
        <f t="shared" si="9"/>
        <v>115.25094149602793</v>
      </c>
    </row>
    <row r="35" spans="1:36">
      <c r="A35" s="41" t="s">
        <v>86</v>
      </c>
      <c r="B35" s="42" t="s">
        <v>72</v>
      </c>
      <c r="C35" s="43" t="s">
        <v>51</v>
      </c>
      <c r="D35" s="43"/>
      <c r="E35" s="41">
        <v>55.123869999999997</v>
      </c>
      <c r="F35" s="42">
        <v>-131.57762099999999</v>
      </c>
      <c r="G35" s="44">
        <f t="shared" si="10"/>
        <v>6.0000000000000053E-2</v>
      </c>
      <c r="H35" s="27">
        <v>0.94</v>
      </c>
      <c r="I35" s="45">
        <v>9.2499999999999999E-2</v>
      </c>
      <c r="J35" s="40">
        <v>5.35</v>
      </c>
      <c r="K35" s="40">
        <v>1440</v>
      </c>
      <c r="L35" s="46">
        <f t="shared" si="1"/>
        <v>1.5466242777049815E-2</v>
      </c>
      <c r="M35" s="27">
        <f>VLOOKUP(B35, 'Region Breakdown'!$A$2:$H$98, 8, FALSE)</f>
        <v>0.5474</v>
      </c>
      <c r="N35" s="38">
        <v>486</v>
      </c>
      <c r="O35" s="40">
        <v>443</v>
      </c>
      <c r="P35" s="40">
        <f>VLOOKUP(B35, 'Region Breakdown'!$A$2:$K$98, 11, FALSE)</f>
        <v>1258</v>
      </c>
      <c r="Q35" s="27">
        <f>VLOOKUP(B35, 'Region Breakdown'!$A$2:$M$98, 13, FALSE)</f>
        <v>0.3053582956746288</v>
      </c>
      <c r="R35" s="27">
        <f>VLOOKUP(B35, 'Region Breakdown'!$A$2:$N$98, 14, FALSE)</f>
        <v>0.77</v>
      </c>
      <c r="S35" s="27">
        <f t="shared" si="2"/>
        <v>0.53767914783731441</v>
      </c>
      <c r="T35" s="27">
        <f t="shared" si="3"/>
        <v>0.46232085216268559</v>
      </c>
      <c r="U35" s="47">
        <f>VLOOKUP(B35, 'Region Breakdown'!$A$2:$P$98, 16, FALSE)</f>
        <v>0.43771626297577854</v>
      </c>
      <c r="V35" s="48">
        <f t="shared" si="4"/>
        <v>193.9083044982699</v>
      </c>
      <c r="W35" s="27">
        <f>VLOOKUP(B35, 'Region Breakdown'!$A$2:$R$98, 18, FALSE)</f>
        <v>0.13970588235294118</v>
      </c>
      <c r="X35" s="49">
        <f t="shared" si="5"/>
        <v>61.889705882352942</v>
      </c>
      <c r="Y35" s="40">
        <v>14134</v>
      </c>
      <c r="Z35" s="40">
        <v>361</v>
      </c>
      <c r="AA35" s="40">
        <v>3645</v>
      </c>
      <c r="AB35" s="40">
        <v>7270</v>
      </c>
      <c r="AC35" s="38">
        <v>9932</v>
      </c>
      <c r="AD35" s="40">
        <v>254</v>
      </c>
      <c r="AE35" s="40">
        <v>2582</v>
      </c>
      <c r="AF35" s="39">
        <v>5114</v>
      </c>
      <c r="AG35" s="38">
        <f t="shared" si="6"/>
        <v>311.53166881859266</v>
      </c>
      <c r="AH35" s="39">
        <f t="shared" si="7"/>
        <v>2.8454897738156748</v>
      </c>
      <c r="AI35" s="40">
        <f t="shared" si="8"/>
        <v>138008.52928663656</v>
      </c>
      <c r="AJ35" s="39">
        <f t="shared" si="9"/>
        <v>1260.5519698003438</v>
      </c>
    </row>
    <row r="36" spans="1:36">
      <c r="A36" s="41" t="s">
        <v>87</v>
      </c>
      <c r="B36" s="42" t="s">
        <v>70</v>
      </c>
      <c r="C36" s="43" t="s">
        <v>55</v>
      </c>
      <c r="D36" s="43"/>
      <c r="E36" s="41">
        <v>57.96</v>
      </c>
      <c r="F36" s="42">
        <v>-136.22699</v>
      </c>
      <c r="G36" s="44">
        <f t="shared" si="10"/>
        <v>0.76</v>
      </c>
      <c r="H36" s="27">
        <v>0.24</v>
      </c>
      <c r="I36" s="45">
        <v>0.25409999999999999</v>
      </c>
      <c r="J36" s="40">
        <v>5.35</v>
      </c>
      <c r="K36" s="40">
        <v>92</v>
      </c>
      <c r="L36" s="46">
        <f t="shared" si="1"/>
        <v>9.8812106631151597E-4</v>
      </c>
      <c r="M36" s="27">
        <f>VLOOKUP(B36, 'Region Breakdown'!$A$2:$H$98, 8, FALSE)</f>
        <v>0.46679999999999999</v>
      </c>
      <c r="N36" s="38">
        <v>75</v>
      </c>
      <c r="O36" s="40">
        <v>36</v>
      </c>
      <c r="P36" s="40">
        <f>VLOOKUP(B36, 'Region Breakdown'!$A$2:$K$98, 11, FALSE)</f>
        <v>1260</v>
      </c>
      <c r="Q36" s="27">
        <f>VLOOKUP(B36, 'Region Breakdown'!$A$2:$M$98, 13, FALSE)</f>
        <v>0.34724983432736911</v>
      </c>
      <c r="R36" s="27">
        <f>VLOOKUP(B36, 'Region Breakdown'!$A$2:$N$98, 14, FALSE)</f>
        <v>0.68</v>
      </c>
      <c r="S36" s="27">
        <f t="shared" si="2"/>
        <v>0.51362491716368464</v>
      </c>
      <c r="T36" s="27">
        <f t="shared" si="3"/>
        <v>0.48637508283631536</v>
      </c>
      <c r="U36" s="47">
        <f>VLOOKUP(B36, 'Region Breakdown'!$A$2:$P$98, 16, FALSE)</f>
        <v>0.5311542390194075</v>
      </c>
      <c r="V36" s="48">
        <f t="shared" si="4"/>
        <v>19.121552604698671</v>
      </c>
      <c r="W36" s="27">
        <f>VLOOKUP(B36, 'Region Breakdown'!$A$2:$R$98, 18, FALSE)</f>
        <v>1.634320735444331E-2</v>
      </c>
      <c r="X36" s="49">
        <f t="shared" si="5"/>
        <v>0.58835546475995915</v>
      </c>
      <c r="Y36" s="40">
        <v>15742</v>
      </c>
      <c r="Z36" s="40">
        <v>479</v>
      </c>
      <c r="AA36" s="40">
        <v>5447</v>
      </c>
      <c r="AB36" s="40">
        <v>4091</v>
      </c>
      <c r="AC36" s="38">
        <v>11822</v>
      </c>
      <c r="AD36" s="40">
        <v>350</v>
      </c>
      <c r="AE36" s="40">
        <v>4021</v>
      </c>
      <c r="AF36" s="39">
        <v>2946</v>
      </c>
      <c r="AG36" s="38">
        <f t="shared" si="6"/>
        <v>416.2576143141153</v>
      </c>
      <c r="AH36" s="39">
        <f t="shared" si="7"/>
        <v>1.603039727672896</v>
      </c>
      <c r="AI36" s="40">
        <f t="shared" si="8"/>
        <v>14985.274115308152</v>
      </c>
      <c r="AJ36" s="39">
        <f t="shared" si="9"/>
        <v>57.709430196224261</v>
      </c>
    </row>
    <row r="37" spans="1:36">
      <c r="A37" s="41" t="s">
        <v>88</v>
      </c>
      <c r="B37" s="42" t="s">
        <v>72</v>
      </c>
      <c r="C37" s="43" t="s">
        <v>51</v>
      </c>
      <c r="D37" s="43"/>
      <c r="E37" s="41">
        <v>56.975456200000004</v>
      </c>
      <c r="F37" s="42">
        <v>-133.939041</v>
      </c>
      <c r="G37" s="44">
        <f t="shared" si="10"/>
        <v>0.76</v>
      </c>
      <c r="H37" s="27">
        <v>0.24</v>
      </c>
      <c r="I37" s="45">
        <v>0.54979999999999996</v>
      </c>
      <c r="J37" s="40">
        <v>4.75</v>
      </c>
      <c r="K37" s="40">
        <v>533</v>
      </c>
      <c r="L37" s="46">
        <f t="shared" si="1"/>
        <v>5.7246579167830212E-3</v>
      </c>
      <c r="M37" s="27">
        <f>VLOOKUP(B37, 'Region Breakdown'!$A$2:$H$98, 8, FALSE)</f>
        <v>0.5474</v>
      </c>
      <c r="N37" s="38">
        <v>254</v>
      </c>
      <c r="O37" s="40">
        <v>172</v>
      </c>
      <c r="P37" s="40">
        <f>VLOOKUP(B37, 'Region Breakdown'!$A$2:$K$98, 11, FALSE)</f>
        <v>1258</v>
      </c>
      <c r="Q37" s="27">
        <f>VLOOKUP(B37, 'Region Breakdown'!$A$2:$M$98, 13, FALSE)</f>
        <v>0.3053582956746288</v>
      </c>
      <c r="R37" s="27">
        <f>VLOOKUP(B37, 'Region Breakdown'!$A$2:$N$98, 14, FALSE)</f>
        <v>0.77</v>
      </c>
      <c r="S37" s="27">
        <f t="shared" si="2"/>
        <v>0.53767914783731441</v>
      </c>
      <c r="T37" s="27">
        <f t="shared" si="3"/>
        <v>0.46232085216268559</v>
      </c>
      <c r="U37" s="47">
        <f>VLOOKUP(B37, 'Region Breakdown'!$A$2:$P$98, 16, FALSE)</f>
        <v>0.43771626297577854</v>
      </c>
      <c r="V37" s="48">
        <f t="shared" si="4"/>
        <v>75.287197231833915</v>
      </c>
      <c r="W37" s="27">
        <f>VLOOKUP(B37, 'Region Breakdown'!$A$2:$R$98, 18, FALSE)</f>
        <v>0.13970588235294118</v>
      </c>
      <c r="X37" s="49">
        <f t="shared" si="5"/>
        <v>24.029411764705884</v>
      </c>
      <c r="Y37" s="40">
        <v>373</v>
      </c>
      <c r="Z37" s="40">
        <v>448</v>
      </c>
      <c r="AA37" s="40">
        <v>4920</v>
      </c>
      <c r="AB37" s="40">
        <v>3035</v>
      </c>
      <c r="AC37" s="38">
        <v>1354</v>
      </c>
      <c r="AD37" s="40">
        <v>324</v>
      </c>
      <c r="AE37" s="40">
        <v>3599</v>
      </c>
      <c r="AF37" s="39">
        <v>2155</v>
      </c>
      <c r="AG37" s="38">
        <f t="shared" si="6"/>
        <v>390.67221433182698</v>
      </c>
      <c r="AH37" s="39">
        <f t="shared" si="7"/>
        <v>1.1921112848227244</v>
      </c>
      <c r="AI37" s="40">
        <f t="shared" si="8"/>
        <v>67195.620865074234</v>
      </c>
      <c r="AJ37" s="39">
        <f t="shared" si="9"/>
        <v>205.0431409895086</v>
      </c>
    </row>
    <row r="38" spans="1:36">
      <c r="A38" s="41" t="s">
        <v>89</v>
      </c>
      <c r="B38" s="42" t="s">
        <v>70</v>
      </c>
      <c r="C38" s="43" t="s">
        <v>55</v>
      </c>
      <c r="D38" s="43"/>
      <c r="E38" s="41">
        <v>57.496646900000002</v>
      </c>
      <c r="F38" s="42">
        <v>-134.5789</v>
      </c>
      <c r="G38" s="44">
        <f t="shared" si="10"/>
        <v>0.76</v>
      </c>
      <c r="H38" s="27">
        <v>0.24</v>
      </c>
      <c r="I38" s="45">
        <v>0.3014</v>
      </c>
      <c r="J38" s="40">
        <v>4.7699999999999996</v>
      </c>
      <c r="K38" s="40">
        <v>339</v>
      </c>
      <c r="L38" s="46">
        <f t="shared" si="1"/>
        <v>3.6410113204304773E-3</v>
      </c>
      <c r="M38" s="27">
        <f>VLOOKUP(B38, 'Region Breakdown'!$A$2:$H$98, 8, FALSE)</f>
        <v>0.46679999999999999</v>
      </c>
      <c r="N38" s="38">
        <v>266</v>
      </c>
      <c r="O38" s="40">
        <v>162</v>
      </c>
      <c r="P38" s="40">
        <f>VLOOKUP(B38, 'Region Breakdown'!$A$2:$K$98, 11, FALSE)</f>
        <v>1260</v>
      </c>
      <c r="Q38" s="27">
        <f>VLOOKUP(B38, 'Region Breakdown'!$A$2:$M$98, 13, FALSE)</f>
        <v>0.34724983432736911</v>
      </c>
      <c r="R38" s="27">
        <f>VLOOKUP(B38, 'Region Breakdown'!$A$2:$N$98, 14, FALSE)</f>
        <v>0.68</v>
      </c>
      <c r="S38" s="27">
        <f t="shared" si="2"/>
        <v>0.51362491716368464</v>
      </c>
      <c r="T38" s="27">
        <f t="shared" si="3"/>
        <v>0.48637508283631536</v>
      </c>
      <c r="U38" s="47">
        <f>VLOOKUP(B38, 'Region Breakdown'!$A$2:$P$98, 16, FALSE)</f>
        <v>0.5311542390194075</v>
      </c>
      <c r="V38" s="48">
        <f t="shared" si="4"/>
        <v>86.046986721144009</v>
      </c>
      <c r="W38" s="27">
        <f>VLOOKUP(B38, 'Region Breakdown'!$A$2:$R$98, 18, FALSE)</f>
        <v>1.634320735444331E-2</v>
      </c>
      <c r="X38" s="49">
        <f t="shared" si="5"/>
        <v>2.6475995914198163</v>
      </c>
      <c r="Y38" s="40">
        <v>13561</v>
      </c>
      <c r="Z38" s="40">
        <v>430</v>
      </c>
      <c r="AA38" s="40">
        <v>4629</v>
      </c>
      <c r="AB38" s="40">
        <v>3051</v>
      </c>
      <c r="AC38" s="38">
        <v>11263</v>
      </c>
      <c r="AD38" s="40">
        <v>308</v>
      </c>
      <c r="AE38" s="40">
        <v>3346</v>
      </c>
      <c r="AF38" s="39">
        <v>2148</v>
      </c>
      <c r="AG38" s="38">
        <f t="shared" si="6"/>
        <v>370.66223989396951</v>
      </c>
      <c r="AH38" s="39">
        <f t="shared" si="7"/>
        <v>1.1846930825437774</v>
      </c>
      <c r="AI38" s="40">
        <f t="shared" si="8"/>
        <v>60047.282862823064</v>
      </c>
      <c r="AJ38" s="39">
        <f t="shared" si="9"/>
        <v>191.92027937209193</v>
      </c>
    </row>
    <row r="39" spans="1:36">
      <c r="A39" s="41" t="s">
        <v>90</v>
      </c>
      <c r="B39" s="42" t="s">
        <v>70</v>
      </c>
      <c r="C39" s="43" t="s">
        <v>55</v>
      </c>
      <c r="D39" s="43"/>
      <c r="E39" s="41">
        <v>58.109110000000001</v>
      </c>
      <c r="F39" s="42">
        <v>-135.4332</v>
      </c>
      <c r="G39" s="44">
        <f t="shared" si="10"/>
        <v>0.76</v>
      </c>
      <c r="H39" s="27">
        <v>0.24</v>
      </c>
      <c r="I39" s="45">
        <v>0.49780000000000002</v>
      </c>
      <c r="J39" s="40">
        <v>8.09</v>
      </c>
      <c r="K39" s="40">
        <v>951</v>
      </c>
      <c r="L39" s="46">
        <f t="shared" si="1"/>
        <v>1.0214164500676649E-2</v>
      </c>
      <c r="M39" s="27">
        <f>VLOOKUP(B39, 'Region Breakdown'!$A$2:$H$98, 8, FALSE)</f>
        <v>0.46679999999999999</v>
      </c>
      <c r="N39" s="38">
        <v>364</v>
      </c>
      <c r="O39" s="40">
        <v>269</v>
      </c>
      <c r="P39" s="40">
        <f>VLOOKUP(B39, 'Region Breakdown'!$A$2:$K$98, 11, FALSE)</f>
        <v>1260</v>
      </c>
      <c r="Q39" s="27">
        <f>VLOOKUP(B39, 'Region Breakdown'!$A$2:$M$98, 13, FALSE)</f>
        <v>0.34724983432736911</v>
      </c>
      <c r="R39" s="27">
        <f>VLOOKUP(B39, 'Region Breakdown'!$A$2:$N$98, 14, FALSE)</f>
        <v>0.68</v>
      </c>
      <c r="S39" s="27">
        <f t="shared" si="2"/>
        <v>0.51362491716368464</v>
      </c>
      <c r="T39" s="27">
        <f t="shared" si="3"/>
        <v>0.48637508283631536</v>
      </c>
      <c r="U39" s="47">
        <f>VLOOKUP(B39, 'Region Breakdown'!$A$2:$P$98, 16, FALSE)</f>
        <v>0.5311542390194075</v>
      </c>
      <c r="V39" s="48">
        <f t="shared" si="4"/>
        <v>142.88049029622061</v>
      </c>
      <c r="W39" s="27">
        <f>VLOOKUP(B39, 'Region Breakdown'!$A$2:$R$98, 18, FALSE)</f>
        <v>1.634320735444331E-2</v>
      </c>
      <c r="X39" s="49">
        <f t="shared" si="5"/>
        <v>4.3963227783452501</v>
      </c>
      <c r="Y39" s="40">
        <v>1540</v>
      </c>
      <c r="Z39" s="40">
        <v>479</v>
      </c>
      <c r="AA39" s="40">
        <v>5447</v>
      </c>
      <c r="AB39" s="40">
        <v>3001</v>
      </c>
      <c r="AC39" s="38">
        <v>2940</v>
      </c>
      <c r="AD39" s="40">
        <v>350</v>
      </c>
      <c r="AE39" s="40">
        <v>4021</v>
      </c>
      <c r="AF39" s="39">
        <v>2142</v>
      </c>
      <c r="AG39" s="38">
        <f t="shared" si="6"/>
        <v>416.2576143141153</v>
      </c>
      <c r="AH39" s="39">
        <f t="shared" si="7"/>
        <v>1.1717205797930283</v>
      </c>
      <c r="AI39" s="40">
        <f t="shared" si="8"/>
        <v>111973.29825049701</v>
      </c>
      <c r="AJ39" s="39">
        <f t="shared" si="9"/>
        <v>315.19283596432462</v>
      </c>
    </row>
    <row r="40" spans="1:36">
      <c r="A40" s="41" t="s">
        <v>91</v>
      </c>
      <c r="B40" s="42" t="s">
        <v>70</v>
      </c>
      <c r="C40" s="43" t="s">
        <v>55</v>
      </c>
      <c r="D40" s="43"/>
      <c r="E40" s="41">
        <v>59.399380000000001</v>
      </c>
      <c r="F40" s="42">
        <v>-135.894531</v>
      </c>
      <c r="G40" s="44">
        <f t="shared" si="10"/>
        <v>0.76</v>
      </c>
      <c r="H40" s="27">
        <v>0.24</v>
      </c>
      <c r="I40" s="40"/>
      <c r="J40" s="40">
        <v>5</v>
      </c>
      <c r="K40" s="40">
        <v>67</v>
      </c>
      <c r="L40" s="46">
        <f t="shared" si="1"/>
        <v>7.1960990698773444E-4</v>
      </c>
      <c r="M40" s="27">
        <f>VLOOKUP(B40, 'Region Breakdown'!$A$2:$H$98, 8, FALSE)</f>
        <v>0.46679999999999999</v>
      </c>
      <c r="N40" s="38">
        <v>54</v>
      </c>
      <c r="O40" s="40">
        <v>30</v>
      </c>
      <c r="P40" s="40">
        <f>VLOOKUP(B40, 'Region Breakdown'!$A$2:$K$98, 11, FALSE)</f>
        <v>1260</v>
      </c>
      <c r="Q40" s="27">
        <f>VLOOKUP(B40, 'Region Breakdown'!$A$2:$M$98, 13, FALSE)</f>
        <v>0.34724983432736911</v>
      </c>
      <c r="R40" s="27">
        <f>VLOOKUP(B40, 'Region Breakdown'!$A$2:$N$98, 14, FALSE)</f>
        <v>0.68</v>
      </c>
      <c r="S40" s="27">
        <f t="shared" si="2"/>
        <v>0.51362491716368464</v>
      </c>
      <c r="T40" s="27">
        <f t="shared" si="3"/>
        <v>0.48637508283631536</v>
      </c>
      <c r="U40" s="47">
        <f>VLOOKUP(B40, 'Region Breakdown'!$A$2:$P$98, 16, FALSE)</f>
        <v>0.5311542390194075</v>
      </c>
      <c r="V40" s="48">
        <f t="shared" si="4"/>
        <v>15.934627170582225</v>
      </c>
      <c r="W40" s="27">
        <f>VLOOKUP(B40, 'Region Breakdown'!$A$2:$R$98, 18, FALSE)</f>
        <v>1.634320735444331E-2</v>
      </c>
      <c r="X40" s="49">
        <f t="shared" si="5"/>
        <v>0.49029622063329931</v>
      </c>
      <c r="Y40" s="40">
        <v>6581</v>
      </c>
      <c r="Z40" s="40">
        <v>448</v>
      </c>
      <c r="AA40" s="40">
        <v>5127</v>
      </c>
      <c r="AB40" s="40">
        <v>2749</v>
      </c>
      <c r="AC40" s="38">
        <v>6247</v>
      </c>
      <c r="AD40" s="40">
        <v>330</v>
      </c>
      <c r="AE40" s="40">
        <v>3844</v>
      </c>
      <c r="AF40" s="39">
        <v>1928</v>
      </c>
      <c r="AG40" s="38">
        <f t="shared" si="6"/>
        <v>390.60774022531479</v>
      </c>
      <c r="AH40" s="39">
        <f t="shared" si="7"/>
        <v>1.0657987979628363</v>
      </c>
      <c r="AI40" s="40">
        <f t="shared" si="8"/>
        <v>11718.232206759443</v>
      </c>
      <c r="AJ40" s="39">
        <f t="shared" si="9"/>
        <v>31.973963938885088</v>
      </c>
    </row>
    <row r="41" spans="1:36">
      <c r="A41" s="41" t="s">
        <v>92</v>
      </c>
      <c r="B41" s="42" t="s">
        <v>37</v>
      </c>
      <c r="C41" s="43" t="s">
        <v>38</v>
      </c>
      <c r="D41" s="43"/>
      <c r="E41" s="41">
        <v>57.20599</v>
      </c>
      <c r="F41" s="42">
        <v>-153.30069</v>
      </c>
      <c r="G41" s="44">
        <f t="shared" si="10"/>
        <v>1</v>
      </c>
      <c r="H41" s="27">
        <v>0</v>
      </c>
      <c r="I41" s="40">
        <v>0.63549999999999995</v>
      </c>
      <c r="J41" s="40">
        <v>5.56</v>
      </c>
      <c r="K41" s="40">
        <v>210</v>
      </c>
      <c r="L41" s="46">
        <f t="shared" si="1"/>
        <v>2.2554937383197646E-3</v>
      </c>
      <c r="M41" s="27">
        <f>VLOOKUP(B41, 'Region Breakdown'!$A$2:$H$98, 8, FALSE)</f>
        <v>0.19209999999999999</v>
      </c>
      <c r="N41" s="38">
        <v>128</v>
      </c>
      <c r="O41" s="40">
        <v>75</v>
      </c>
      <c r="P41" s="40">
        <f>VLOOKUP(B41, 'Region Breakdown'!$A$2:$K$98, 11, FALSE)</f>
        <v>1854</v>
      </c>
      <c r="Q41" s="27">
        <f>VLOOKUP(B41, 'Region Breakdown'!$A$2:$M$98, 13, FALSE)</f>
        <v>0.38531761125903385</v>
      </c>
      <c r="R41" s="27">
        <f>VLOOKUP(B41, 'Region Breakdown'!$A$2:$N$98, 14, FALSE)</f>
        <v>0.53</v>
      </c>
      <c r="S41" s="27">
        <f t="shared" si="2"/>
        <v>0.45765880562951694</v>
      </c>
      <c r="T41" s="27">
        <f t="shared" si="3"/>
        <v>0.542341194370483</v>
      </c>
      <c r="U41" s="47">
        <f>VLOOKUP(B41, 'Region Breakdown'!$A$2:$P$98, 16, FALSE)</f>
        <v>0.73156981786643538</v>
      </c>
      <c r="V41" s="48">
        <f t="shared" si="4"/>
        <v>54.867736339982656</v>
      </c>
      <c r="W41" s="27">
        <f>VLOOKUP(B41, 'Region Breakdown'!$A$2:$R$98, 18, FALSE)</f>
        <v>0.15156114483954899</v>
      </c>
      <c r="X41" s="49">
        <f t="shared" si="5"/>
        <v>11.367085862966174</v>
      </c>
      <c r="Y41" s="40">
        <v>15629</v>
      </c>
      <c r="Z41" s="40">
        <v>671</v>
      </c>
      <c r="AA41" s="40">
        <v>7195</v>
      </c>
      <c r="AB41" s="40">
        <v>2648</v>
      </c>
      <c r="AC41" s="38">
        <v>13466</v>
      </c>
      <c r="AD41" s="40">
        <v>491</v>
      </c>
      <c r="AE41" s="40">
        <v>5311</v>
      </c>
      <c r="AF41" s="39">
        <v>1854</v>
      </c>
      <c r="AG41" s="38">
        <f t="shared" si="6"/>
        <v>573.378585013313</v>
      </c>
      <c r="AH41" s="39">
        <f t="shared" si="7"/>
        <v>1.0057863241327043</v>
      </c>
      <c r="AI41" s="40">
        <f t="shared" si="8"/>
        <v>43003.393875998474</v>
      </c>
      <c r="AJ41" s="39">
        <f t="shared" si="9"/>
        <v>75.433974309952816</v>
      </c>
    </row>
    <row r="42" spans="1:36">
      <c r="A42" s="41" t="s">
        <v>93</v>
      </c>
      <c r="B42" s="42" t="s">
        <v>37</v>
      </c>
      <c r="C42" s="43" t="s">
        <v>38</v>
      </c>
      <c r="D42" s="43"/>
      <c r="E42" s="41">
        <v>57.921109999999999</v>
      </c>
      <c r="F42" s="42">
        <v>-152.502487</v>
      </c>
      <c r="G42" s="44">
        <v>1</v>
      </c>
      <c r="H42" s="27">
        <v>0</v>
      </c>
      <c r="I42" s="45">
        <v>0.51749999999999996</v>
      </c>
      <c r="J42" s="40">
        <v>5.44</v>
      </c>
      <c r="K42" s="40">
        <v>103</v>
      </c>
      <c r="L42" s="46">
        <f t="shared" si="1"/>
        <v>1.1062659764139798E-3</v>
      </c>
      <c r="M42" s="27">
        <f>VLOOKUP(B42, 'Region Breakdown'!$A$2:$H$98, 8, FALSE)</f>
        <v>0.19209999999999999</v>
      </c>
      <c r="N42" s="38">
        <v>68</v>
      </c>
      <c r="O42" s="40">
        <v>40</v>
      </c>
      <c r="P42" s="40">
        <f>VLOOKUP(B42, 'Region Breakdown'!$A$2:$K$98, 11, FALSE)</f>
        <v>1854</v>
      </c>
      <c r="Q42" s="27">
        <f>VLOOKUP(B42, 'Region Breakdown'!$A$2:$M$98, 13, FALSE)</f>
        <v>0.38531761125903385</v>
      </c>
      <c r="R42" s="27">
        <f>VLOOKUP(B42, 'Region Breakdown'!$A$2:$N$98, 14, FALSE)</f>
        <v>0.53</v>
      </c>
      <c r="S42" s="27">
        <f t="shared" si="2"/>
        <v>0.45765880562951694</v>
      </c>
      <c r="T42" s="27">
        <f t="shared" si="3"/>
        <v>0.542341194370483</v>
      </c>
      <c r="U42" s="47">
        <f>VLOOKUP(B42, 'Region Breakdown'!$A$2:$P$98, 16, FALSE)</f>
        <v>0.73156981786643538</v>
      </c>
      <c r="V42" s="48">
        <f t="shared" si="4"/>
        <v>29.262792714657415</v>
      </c>
      <c r="W42" s="27">
        <f>VLOOKUP(B42, 'Region Breakdown'!$A$2:$R$98, 18, FALSE)</f>
        <v>0.15156114483954899</v>
      </c>
      <c r="X42" s="49">
        <f t="shared" si="5"/>
        <v>6.0624457935819596</v>
      </c>
      <c r="Y42" s="40">
        <v>16051</v>
      </c>
      <c r="Z42" s="40">
        <v>671</v>
      </c>
      <c r="AA42" s="40">
        <v>7195</v>
      </c>
      <c r="AB42" s="40">
        <v>2648</v>
      </c>
      <c r="AC42" s="38">
        <v>13844</v>
      </c>
      <c r="AD42" s="40">
        <v>491</v>
      </c>
      <c r="AE42" s="40">
        <v>5311</v>
      </c>
      <c r="AF42" s="39">
        <v>1854</v>
      </c>
      <c r="AG42" s="38">
        <f t="shared" si="6"/>
        <v>573.378585013313</v>
      </c>
      <c r="AH42" s="39">
        <f t="shared" si="7"/>
        <v>1.0057863241327043</v>
      </c>
      <c r="AI42" s="40">
        <f t="shared" si="8"/>
        <v>22935.143400532521</v>
      </c>
      <c r="AJ42" s="39">
        <f t="shared" si="9"/>
        <v>40.231452965308172</v>
      </c>
    </row>
    <row r="43" spans="1:36">
      <c r="A43" s="41" t="s">
        <v>94</v>
      </c>
      <c r="B43" s="42" t="s">
        <v>37</v>
      </c>
      <c r="C43" s="43" t="s">
        <v>38</v>
      </c>
      <c r="D43" s="43"/>
      <c r="E43" s="41">
        <v>56.944522900000003</v>
      </c>
      <c r="F43" s="42">
        <v>-154.17152400000001</v>
      </c>
      <c r="G43" s="44">
        <f t="shared" ref="G43:G51" si="11">1-H43</f>
        <v>1</v>
      </c>
      <c r="H43" s="27">
        <v>0</v>
      </c>
      <c r="I43" s="40"/>
      <c r="J43" s="40">
        <v>4.8499999999999996</v>
      </c>
      <c r="K43" s="40">
        <v>65</v>
      </c>
      <c r="L43" s="46">
        <f t="shared" si="1"/>
        <v>6.9812901424183191E-4</v>
      </c>
      <c r="M43" s="27">
        <f>VLOOKUP(B43, 'Region Breakdown'!$A$2:$H$98, 8, FALSE)</f>
        <v>0.19209999999999999</v>
      </c>
      <c r="N43" s="38">
        <v>34</v>
      </c>
      <c r="O43" s="40">
        <v>19</v>
      </c>
      <c r="P43" s="40">
        <f>VLOOKUP(B43, 'Region Breakdown'!$A$2:$K$98, 11, FALSE)</f>
        <v>1854</v>
      </c>
      <c r="Q43" s="27">
        <f>VLOOKUP(B43, 'Region Breakdown'!$A$2:$M$98, 13, FALSE)</f>
        <v>0.38531761125903385</v>
      </c>
      <c r="R43" s="27">
        <f>VLOOKUP(B43, 'Region Breakdown'!$A$2:$N$98, 14, FALSE)</f>
        <v>0.53</v>
      </c>
      <c r="S43" s="27">
        <f t="shared" si="2"/>
        <v>0.45765880562951694</v>
      </c>
      <c r="T43" s="27">
        <f t="shared" si="3"/>
        <v>0.542341194370483</v>
      </c>
      <c r="U43" s="47">
        <f>VLOOKUP(B43, 'Region Breakdown'!$A$2:$P$98, 16, FALSE)</f>
        <v>0.73156981786643538</v>
      </c>
      <c r="V43" s="48">
        <f t="shared" si="4"/>
        <v>13.899826539462271</v>
      </c>
      <c r="W43" s="27">
        <f>VLOOKUP(B43, 'Region Breakdown'!$A$2:$R$98, 18, FALSE)</f>
        <v>0.15156114483954899</v>
      </c>
      <c r="X43" s="49">
        <f t="shared" si="5"/>
        <v>2.8796617519514309</v>
      </c>
      <c r="Y43" s="40">
        <v>15629</v>
      </c>
      <c r="Z43" s="40">
        <v>671</v>
      </c>
      <c r="AA43" s="40">
        <v>7195</v>
      </c>
      <c r="AB43" s="40">
        <v>2648</v>
      </c>
      <c r="AC43" s="38">
        <v>13466</v>
      </c>
      <c r="AD43" s="40">
        <v>491</v>
      </c>
      <c r="AE43" s="40">
        <v>5311</v>
      </c>
      <c r="AF43" s="39">
        <v>1854</v>
      </c>
      <c r="AG43" s="38">
        <f t="shared" si="6"/>
        <v>573.378585013313</v>
      </c>
      <c r="AH43" s="39">
        <f t="shared" si="7"/>
        <v>1.0057863241327043</v>
      </c>
      <c r="AI43" s="40">
        <f t="shared" si="8"/>
        <v>10894.193115252947</v>
      </c>
      <c r="AJ43" s="39">
        <f t="shared" si="9"/>
        <v>19.109940158521383</v>
      </c>
    </row>
    <row r="44" spans="1:36">
      <c r="A44" s="41" t="s">
        <v>95</v>
      </c>
      <c r="B44" s="42" t="s">
        <v>96</v>
      </c>
      <c r="C44" s="43" t="s">
        <v>55</v>
      </c>
      <c r="D44" s="43"/>
      <c r="E44" s="41">
        <v>59.546720000000001</v>
      </c>
      <c r="F44" s="42">
        <v>-139.728058</v>
      </c>
      <c r="G44" s="44">
        <f t="shared" si="11"/>
        <v>1</v>
      </c>
      <c r="H44" s="27">
        <v>0</v>
      </c>
      <c r="I44" s="45">
        <v>0.53210000000000002</v>
      </c>
      <c r="J44" s="40">
        <v>7.36</v>
      </c>
      <c r="K44" s="40">
        <v>564</v>
      </c>
      <c r="L44" s="46">
        <f t="shared" si="1"/>
        <v>6.0576117543445105E-3</v>
      </c>
      <c r="M44" s="27">
        <f>VLOOKUP(B44, 'Region Breakdown'!$A$2:$H$98, 8, FALSE)</f>
        <v>0.5242</v>
      </c>
      <c r="N44" s="38">
        <v>343</v>
      </c>
      <c r="O44" s="40">
        <v>231</v>
      </c>
      <c r="P44" s="40">
        <f>VLOOKUP(B44, 'Region Breakdown'!$A$2:$K$98, 11, FALSE)</f>
        <v>1116</v>
      </c>
      <c r="Q44" s="27">
        <f>VLOOKUP(B44, 'Region Breakdown'!$A$2:$M$98, 13, FALSE)</f>
        <v>0.32975871313672922</v>
      </c>
      <c r="R44" s="27">
        <f>VLOOKUP(B44, 'Region Breakdown'!$A$2:$N$98, 14, FALSE)</f>
        <v>0.6</v>
      </c>
      <c r="S44" s="27">
        <f t="shared" si="2"/>
        <v>0.4648793565683646</v>
      </c>
      <c r="T44" s="27">
        <f t="shared" si="3"/>
        <v>0.53512064343163535</v>
      </c>
      <c r="U44" s="47">
        <f>VLOOKUP(B44, 'Region Breakdown'!$A$2:$P$98, 16, FALSE)</f>
        <v>0.74339622641509429</v>
      </c>
      <c r="V44" s="48">
        <f t="shared" si="4"/>
        <v>171.72452830188678</v>
      </c>
      <c r="W44" s="27">
        <f>VLOOKUP(B44, 'Region Breakdown'!$A$2:$R$98, 18, FALSE)</f>
        <v>1.509433962264151E-2</v>
      </c>
      <c r="X44" s="49">
        <f t="shared" si="5"/>
        <v>3.4867924528301888</v>
      </c>
      <c r="Y44" s="40">
        <v>21772</v>
      </c>
      <c r="Z44" s="43">
        <v>435</v>
      </c>
      <c r="AA44" s="54">
        <v>4916</v>
      </c>
      <c r="AB44" s="54">
        <v>1286</v>
      </c>
      <c r="AC44" s="38">
        <v>17390</v>
      </c>
      <c r="AD44" s="40">
        <v>318</v>
      </c>
      <c r="AE44" s="40">
        <v>3630</v>
      </c>
      <c r="AF44" s="39">
        <v>878</v>
      </c>
      <c r="AG44" s="38">
        <f t="shared" si="6"/>
        <v>372.39088471849868</v>
      </c>
      <c r="AH44" s="39">
        <f t="shared" si="7"/>
        <v>0.48428692329865947</v>
      </c>
      <c r="AI44" s="40">
        <f t="shared" si="8"/>
        <v>86022.294369973199</v>
      </c>
      <c r="AJ44" s="39">
        <f t="shared" si="9"/>
        <v>111.87027928199034</v>
      </c>
    </row>
    <row r="45" spans="1:36">
      <c r="A45" s="41" t="s">
        <v>97</v>
      </c>
      <c r="B45" s="42" t="s">
        <v>72</v>
      </c>
      <c r="C45" s="43" t="s">
        <v>51</v>
      </c>
      <c r="D45" s="43"/>
      <c r="E45" s="41">
        <v>56.250070000000001</v>
      </c>
      <c r="F45" s="42">
        <v>-134.65068099999999</v>
      </c>
      <c r="G45" s="44">
        <f t="shared" si="11"/>
        <v>1</v>
      </c>
      <c r="H45" s="27">
        <v>0</v>
      </c>
      <c r="I45" s="40"/>
      <c r="J45" s="40">
        <v>5.57</v>
      </c>
      <c r="K45" s="40">
        <v>73</v>
      </c>
      <c r="L45" s="46">
        <f t="shared" si="1"/>
        <v>7.8405258522544193E-4</v>
      </c>
      <c r="M45" s="27">
        <f>VLOOKUP(B45, 'Region Breakdown'!$A$2:$H$98, 8, FALSE)</f>
        <v>0.5474</v>
      </c>
      <c r="N45" s="38">
        <v>81</v>
      </c>
      <c r="O45" s="40">
        <v>24</v>
      </c>
      <c r="P45" s="40">
        <f>VLOOKUP(B45, 'Region Breakdown'!$A$2:$K$98, 11, FALSE)</f>
        <v>1258</v>
      </c>
      <c r="Q45" s="27">
        <f>VLOOKUP(B45, 'Region Breakdown'!$A$2:$M$98, 13, FALSE)</f>
        <v>0.3053582956746288</v>
      </c>
      <c r="R45" s="27">
        <f>VLOOKUP(B45, 'Region Breakdown'!$A$2:$N$98, 14, FALSE)</f>
        <v>0.77</v>
      </c>
      <c r="S45" s="27">
        <f t="shared" si="2"/>
        <v>0.53767914783731441</v>
      </c>
      <c r="T45" s="27">
        <f t="shared" si="3"/>
        <v>0.46232085216268559</v>
      </c>
      <c r="U45" s="47">
        <f>VLOOKUP(B45, 'Region Breakdown'!$A$2:$P$98, 16, FALSE)</f>
        <v>0.43771626297577854</v>
      </c>
      <c r="V45" s="48">
        <f t="shared" si="4"/>
        <v>10.505190311418685</v>
      </c>
      <c r="W45" s="27">
        <f>VLOOKUP(B45, 'Region Breakdown'!$A$2:$R$98, 18, FALSE)</f>
        <v>0.13970588235294118</v>
      </c>
      <c r="X45" s="49">
        <f t="shared" si="5"/>
        <v>3.3529411764705883</v>
      </c>
      <c r="Y45" s="40">
        <v>-15051</v>
      </c>
      <c r="Z45" s="40">
        <v>448</v>
      </c>
      <c r="AA45" s="40">
        <v>4920</v>
      </c>
      <c r="AB45" s="40">
        <v>83</v>
      </c>
      <c r="AC45" s="38">
        <v>-9598</v>
      </c>
      <c r="AD45" s="40">
        <v>324</v>
      </c>
      <c r="AE45" s="40">
        <v>3599</v>
      </c>
      <c r="AF45" s="39">
        <v>-5</v>
      </c>
      <c r="AG45" s="38">
        <f t="shared" si="6"/>
        <v>390.67221433182698</v>
      </c>
      <c r="AH45" s="39">
        <f t="shared" si="7"/>
        <v>1.9194092482272437E-2</v>
      </c>
      <c r="AI45" s="40">
        <f t="shared" si="8"/>
        <v>9376.133143963847</v>
      </c>
      <c r="AJ45" s="39">
        <f t="shared" si="9"/>
        <v>0.46065821957453845</v>
      </c>
    </row>
    <row r="46" spans="1:36">
      <c r="A46" s="55" t="s">
        <v>98</v>
      </c>
      <c r="B46" s="42" t="s">
        <v>72</v>
      </c>
      <c r="C46" s="43" t="s">
        <v>51</v>
      </c>
      <c r="D46" s="43"/>
      <c r="E46" s="41">
        <v>56.3485947</v>
      </c>
      <c r="F46" s="42">
        <v>-133.61663799999999</v>
      </c>
      <c r="G46" s="44">
        <f t="shared" si="11"/>
        <v>1</v>
      </c>
      <c r="H46" s="27">
        <v>0</v>
      </c>
      <c r="I46" s="40"/>
      <c r="J46" s="40">
        <v>5.35</v>
      </c>
      <c r="K46" s="40">
        <v>0</v>
      </c>
      <c r="L46" s="46">
        <f t="shared" si="1"/>
        <v>0</v>
      </c>
      <c r="M46" s="27">
        <f>VLOOKUP(B46, 'Region Breakdown'!$A$2:$H$98, 8, FALSE)</f>
        <v>0.5474</v>
      </c>
      <c r="N46" s="38">
        <v>0</v>
      </c>
      <c r="O46" s="40">
        <v>0</v>
      </c>
      <c r="P46" s="40">
        <f>VLOOKUP(B46, 'Region Breakdown'!$A$2:$K$98, 11, FALSE)</f>
        <v>1258</v>
      </c>
      <c r="Q46" s="27">
        <f>VLOOKUP(B46, 'Region Breakdown'!$A$2:$M$98, 13, FALSE)</f>
        <v>0.3053582956746288</v>
      </c>
      <c r="R46" s="27">
        <f>VLOOKUP(B46, 'Region Breakdown'!$A$2:$N$98, 14, FALSE)</f>
        <v>0.77</v>
      </c>
      <c r="S46" s="27">
        <f t="shared" si="2"/>
        <v>0.53767914783731441</v>
      </c>
      <c r="T46" s="27">
        <f t="shared" si="3"/>
        <v>0.46232085216268559</v>
      </c>
      <c r="U46" s="47">
        <f>VLOOKUP(B46, 'Region Breakdown'!$A$2:$P$98, 16, FALSE)</f>
        <v>0.43771626297577854</v>
      </c>
      <c r="V46" s="48">
        <f t="shared" si="4"/>
        <v>0</v>
      </c>
      <c r="W46" s="27">
        <f>VLOOKUP(B46, 'Region Breakdown'!$A$2:$R$98, 18, FALSE)</f>
        <v>0.13970588235294118</v>
      </c>
      <c r="X46" s="49">
        <f t="shared" si="5"/>
        <v>0</v>
      </c>
      <c r="Y46" s="40">
        <v>-11075</v>
      </c>
      <c r="Z46" s="40">
        <v>454</v>
      </c>
      <c r="AA46" s="40">
        <v>5058</v>
      </c>
      <c r="AB46" s="40">
        <v>-43</v>
      </c>
      <c r="AC46" s="38">
        <v>-6413</v>
      </c>
      <c r="AD46" s="40">
        <v>332</v>
      </c>
      <c r="AE46" s="40">
        <v>3739</v>
      </c>
      <c r="AF46" s="39">
        <v>-126</v>
      </c>
      <c r="AG46" s="38">
        <f t="shared" si="6"/>
        <v>397.59685603615236</v>
      </c>
      <c r="AH46" s="39">
        <f t="shared" si="7"/>
        <v>-3.6909974317856684E-2</v>
      </c>
      <c r="AI46" s="40">
        <f t="shared" si="8"/>
        <v>0</v>
      </c>
      <c r="AJ46" s="39">
        <f t="shared" si="9"/>
        <v>0</v>
      </c>
    </row>
    <row r="47" spans="1:36">
      <c r="A47" s="55" t="s">
        <v>99</v>
      </c>
      <c r="B47" s="42" t="s">
        <v>72</v>
      </c>
      <c r="C47" s="43" t="s">
        <v>51</v>
      </c>
      <c r="D47" s="43"/>
      <c r="E47" s="41">
        <v>56.322159999999997</v>
      </c>
      <c r="F47" s="42">
        <v>-133.60607899999999</v>
      </c>
      <c r="G47" s="44">
        <f t="shared" si="11"/>
        <v>1</v>
      </c>
      <c r="H47" s="27">
        <v>0</v>
      </c>
      <c r="I47" s="40"/>
      <c r="J47" s="40">
        <v>5.35</v>
      </c>
      <c r="K47" s="40">
        <v>14</v>
      </c>
      <c r="L47" s="46">
        <f t="shared" si="1"/>
        <v>1.5036624922131763E-4</v>
      </c>
      <c r="M47" s="27">
        <f>VLOOKUP(B47, 'Region Breakdown'!$A$2:$H$98, 8, FALSE)</f>
        <v>0.5474</v>
      </c>
      <c r="N47" s="38">
        <v>41</v>
      </c>
      <c r="O47" s="40">
        <v>14</v>
      </c>
      <c r="P47" s="40">
        <f>VLOOKUP(B47, 'Region Breakdown'!$A$2:$K$98, 11, FALSE)</f>
        <v>1258</v>
      </c>
      <c r="Q47" s="27">
        <f>VLOOKUP(B47, 'Region Breakdown'!$A$2:$M$98, 13, FALSE)</f>
        <v>0.3053582956746288</v>
      </c>
      <c r="R47" s="27">
        <f>VLOOKUP(B47, 'Region Breakdown'!$A$2:$N$98, 14, FALSE)</f>
        <v>0.77</v>
      </c>
      <c r="S47" s="27">
        <f t="shared" si="2"/>
        <v>0.53767914783731441</v>
      </c>
      <c r="T47" s="27">
        <f t="shared" si="3"/>
        <v>0.46232085216268559</v>
      </c>
      <c r="U47" s="47">
        <f>VLOOKUP(B47, 'Region Breakdown'!$A$2:$P$98, 16, FALSE)</f>
        <v>0.43771626297577854</v>
      </c>
      <c r="V47" s="48">
        <f t="shared" si="4"/>
        <v>6.1280276816608996</v>
      </c>
      <c r="W47" s="27">
        <f>VLOOKUP(B47, 'Region Breakdown'!$A$2:$R$98, 18, FALSE)</f>
        <v>0.13970588235294118</v>
      </c>
      <c r="X47" s="49">
        <f t="shared" si="5"/>
        <v>1.9558823529411766</v>
      </c>
      <c r="Y47" s="40">
        <v>-15574</v>
      </c>
      <c r="Z47" s="40">
        <v>454</v>
      </c>
      <c r="AA47" s="40">
        <v>5058</v>
      </c>
      <c r="AB47" s="40">
        <v>-43</v>
      </c>
      <c r="AC47" s="38">
        <v>-10912</v>
      </c>
      <c r="AD47" s="40">
        <v>332</v>
      </c>
      <c r="AE47" s="40">
        <v>3739</v>
      </c>
      <c r="AF47" s="39">
        <v>-126</v>
      </c>
      <c r="AG47" s="38">
        <f t="shared" si="6"/>
        <v>397.59685603615236</v>
      </c>
      <c r="AH47" s="39">
        <f t="shared" si="7"/>
        <v>-3.6909974317856684E-2</v>
      </c>
      <c r="AI47" s="40">
        <f t="shared" si="8"/>
        <v>5566.3559845061327</v>
      </c>
      <c r="AJ47" s="39">
        <f t="shared" si="9"/>
        <v>-0.51673964044999354</v>
      </c>
    </row>
    <row r="48" spans="1:36">
      <c r="A48" s="55" t="s">
        <v>100</v>
      </c>
      <c r="B48" s="42" t="s">
        <v>72</v>
      </c>
      <c r="C48" s="43" t="s">
        <v>51</v>
      </c>
      <c r="D48" s="43"/>
      <c r="E48" s="41">
        <v>56.115062700000003</v>
      </c>
      <c r="F48" s="42">
        <v>-133.15481600000001</v>
      </c>
      <c r="G48" s="44">
        <f t="shared" si="11"/>
        <v>1</v>
      </c>
      <c r="H48" s="27">
        <v>0</v>
      </c>
      <c r="I48" s="40"/>
      <c r="J48" s="40">
        <v>4.75</v>
      </c>
      <c r="K48" s="40">
        <v>85</v>
      </c>
      <c r="L48" s="46">
        <f t="shared" si="1"/>
        <v>9.1293794170085711E-4</v>
      </c>
      <c r="M48" s="27">
        <f>VLOOKUP(B48, 'Region Breakdown'!$A$2:$H$98, 8, FALSE)</f>
        <v>0.5474</v>
      </c>
      <c r="N48" s="38">
        <v>94</v>
      </c>
      <c r="O48" s="40">
        <v>46</v>
      </c>
      <c r="P48" s="40">
        <f>VLOOKUP(B48, 'Region Breakdown'!$A$2:$K$98, 11, FALSE)</f>
        <v>1258</v>
      </c>
      <c r="Q48" s="27">
        <f>VLOOKUP(B48, 'Region Breakdown'!$A$2:$M$98, 13, FALSE)</f>
        <v>0.3053582956746288</v>
      </c>
      <c r="R48" s="27">
        <f>VLOOKUP(B48, 'Region Breakdown'!$A$2:$N$98, 14, FALSE)</f>
        <v>0.77</v>
      </c>
      <c r="S48" s="27">
        <f t="shared" si="2"/>
        <v>0.53767914783731441</v>
      </c>
      <c r="T48" s="27">
        <f t="shared" si="3"/>
        <v>0.46232085216268559</v>
      </c>
      <c r="U48" s="47">
        <f>VLOOKUP(B48, 'Region Breakdown'!$A$2:$P$98, 16, FALSE)</f>
        <v>0.43771626297577854</v>
      </c>
      <c r="V48" s="48">
        <f t="shared" si="4"/>
        <v>20.134948096885811</v>
      </c>
      <c r="W48" s="27">
        <f>VLOOKUP(B48, 'Region Breakdown'!$A$2:$R$98, 18, FALSE)</f>
        <v>0.13970588235294118</v>
      </c>
      <c r="X48" s="49">
        <f t="shared" si="5"/>
        <v>6.4264705882352944</v>
      </c>
      <c r="Y48" s="40">
        <v>10386</v>
      </c>
      <c r="Z48" s="40">
        <v>432</v>
      </c>
      <c r="AA48" s="40">
        <v>4722</v>
      </c>
      <c r="AB48" s="40">
        <v>-331</v>
      </c>
      <c r="AC48" s="38">
        <v>7675</v>
      </c>
      <c r="AD48" s="40">
        <v>313</v>
      </c>
      <c r="AE48" s="40">
        <v>3456</v>
      </c>
      <c r="AF48" s="39">
        <v>-315</v>
      </c>
      <c r="AG48" s="38">
        <f t="shared" si="6"/>
        <v>376.98381859264043</v>
      </c>
      <c r="AH48" s="39">
        <f t="shared" si="7"/>
        <v>-0.14678367136041315</v>
      </c>
      <c r="AI48" s="40">
        <f t="shared" si="8"/>
        <v>17341.255655261459</v>
      </c>
      <c r="AJ48" s="39">
        <f t="shared" si="9"/>
        <v>-6.7520488825790048</v>
      </c>
    </row>
    <row r="49" spans="1:36">
      <c r="A49" s="55" t="s">
        <v>101</v>
      </c>
      <c r="B49" s="42" t="s">
        <v>70</v>
      </c>
      <c r="C49" s="43" t="s">
        <v>55</v>
      </c>
      <c r="D49" s="43"/>
      <c r="E49" s="41">
        <v>57.780807500000002</v>
      </c>
      <c r="F49" s="42">
        <v>-135.21845999999999</v>
      </c>
      <c r="G49" s="44">
        <f t="shared" si="11"/>
        <v>1</v>
      </c>
      <c r="H49" s="27">
        <v>0</v>
      </c>
      <c r="I49" s="40">
        <v>0.84</v>
      </c>
      <c r="J49" s="40">
        <v>4.7699999999999996</v>
      </c>
      <c r="K49" s="40">
        <v>113</v>
      </c>
      <c r="L49" s="46">
        <f t="shared" si="1"/>
        <v>1.2136704401434924E-3</v>
      </c>
      <c r="M49" s="27">
        <f>VLOOKUP(B49, 'Region Breakdown'!$A$2:$H$98, 8, FALSE)</f>
        <v>0.46679999999999999</v>
      </c>
      <c r="N49" s="38">
        <v>222</v>
      </c>
      <c r="O49" s="40">
        <v>98</v>
      </c>
      <c r="P49" s="40">
        <f>VLOOKUP(B49, 'Region Breakdown'!$A$2:$K$98, 11, FALSE)</f>
        <v>1260</v>
      </c>
      <c r="Q49" s="27">
        <f>VLOOKUP(B49, 'Region Breakdown'!$A$2:$M$98, 13, FALSE)</f>
        <v>0.34724983432736911</v>
      </c>
      <c r="R49" s="27">
        <f>VLOOKUP(B49, 'Region Breakdown'!$A$2:$N$98, 14, FALSE)</f>
        <v>0.68</v>
      </c>
      <c r="S49" s="27">
        <f t="shared" si="2"/>
        <v>0.51362491716368464</v>
      </c>
      <c r="T49" s="27">
        <f t="shared" si="3"/>
        <v>0.48637508283631536</v>
      </c>
      <c r="U49" s="47">
        <f>VLOOKUP(B49, 'Region Breakdown'!$A$2:$P$98, 16, FALSE)</f>
        <v>0.5311542390194075</v>
      </c>
      <c r="V49" s="48">
        <f t="shared" si="4"/>
        <v>52.053115423901936</v>
      </c>
      <c r="W49" s="27">
        <f>VLOOKUP(B49, 'Region Breakdown'!$A$2:$R$98, 18, FALSE)</f>
        <v>1.634320735444331E-2</v>
      </c>
      <c r="X49" s="49">
        <f t="shared" si="5"/>
        <v>1.6016343207354444</v>
      </c>
      <c r="Y49" s="40">
        <v>-3939</v>
      </c>
      <c r="Z49" s="40">
        <v>479</v>
      </c>
      <c r="AA49" s="40">
        <v>5447</v>
      </c>
      <c r="AB49" s="40">
        <v>-811</v>
      </c>
      <c r="AC49" s="38">
        <v>-402</v>
      </c>
      <c r="AD49" s="40">
        <v>350</v>
      </c>
      <c r="AE49" s="40">
        <v>4021</v>
      </c>
      <c r="AF49" s="39">
        <v>-673</v>
      </c>
      <c r="AG49" s="38">
        <f t="shared" si="6"/>
        <v>416.2576143141153</v>
      </c>
      <c r="AH49" s="39">
        <f t="shared" si="7"/>
        <v>-0.33741812517280323</v>
      </c>
      <c r="AI49" s="40">
        <f t="shared" si="8"/>
        <v>40793.246202783303</v>
      </c>
      <c r="AJ49" s="39">
        <f t="shared" si="9"/>
        <v>-33.066976266934716</v>
      </c>
    </row>
    <row r="50" spans="1:36">
      <c r="A50" s="55" t="s">
        <v>102</v>
      </c>
      <c r="B50" s="42" t="s">
        <v>62</v>
      </c>
      <c r="C50" s="42" t="s">
        <v>63</v>
      </c>
      <c r="D50" s="43"/>
      <c r="E50" s="41">
        <v>60.069690000000001</v>
      </c>
      <c r="F50" s="42">
        <v>-148.00919999999999</v>
      </c>
      <c r="G50" s="44">
        <f t="shared" si="11"/>
        <v>1</v>
      </c>
      <c r="H50" s="27">
        <v>0</v>
      </c>
      <c r="I50" s="40">
        <v>0.61309999999999998</v>
      </c>
      <c r="J50" s="40">
        <v>8.09</v>
      </c>
      <c r="K50" s="40">
        <v>58</v>
      </c>
      <c r="L50" s="46">
        <f t="shared" si="1"/>
        <v>6.2294588963117306E-4</v>
      </c>
      <c r="M50" s="27">
        <f>VLOOKUP(B50, 'Region Breakdown'!$A$2:$H$98, 8, FALSE)</f>
        <v>0.155</v>
      </c>
      <c r="N50" s="38">
        <v>41</v>
      </c>
      <c r="O50" s="40">
        <v>22</v>
      </c>
      <c r="P50" s="40">
        <f>VLOOKUP(B50, 'Region Breakdown'!$A$2:$K$98, 11, FALSE)</f>
        <v>1838</v>
      </c>
      <c r="Q50" s="27">
        <f>VLOOKUP(B50, 'Region Breakdown'!$A$2:$M$98, 13, FALSE)</f>
        <v>0.34745179063360881</v>
      </c>
      <c r="R50" s="27">
        <f>VLOOKUP(B50, 'Region Breakdown'!$A$2:$N$98, 14, FALSE)</f>
        <v>0.54</v>
      </c>
      <c r="S50" s="27">
        <f t="shared" si="2"/>
        <v>0.4437258953168044</v>
      </c>
      <c r="T50" s="27">
        <f t="shared" si="3"/>
        <v>0.5562741046831956</v>
      </c>
      <c r="U50" s="47">
        <f>VLOOKUP(B50, 'Region Breakdown'!$A$2:$P$98, 16, FALSE)</f>
        <v>0.8715925394548063</v>
      </c>
      <c r="V50" s="48">
        <f t="shared" si="4"/>
        <v>19.17503586800574</v>
      </c>
      <c r="W50" s="27">
        <f>VLOOKUP(B50, 'Region Breakdown'!$A$2:$R$98, 18, FALSE)</f>
        <v>4.483500717360115E-2</v>
      </c>
      <c r="X50" s="49">
        <f t="shared" si="5"/>
        <v>0.98637015781922532</v>
      </c>
      <c r="Y50" s="40">
        <v>6813</v>
      </c>
      <c r="Z50" s="40">
        <v>700</v>
      </c>
      <c r="AA50" s="40">
        <v>7865</v>
      </c>
      <c r="AB50" s="40">
        <v>-1003</v>
      </c>
      <c r="AC50" s="38">
        <v>9314</v>
      </c>
      <c r="AD50" s="40">
        <v>530</v>
      </c>
      <c r="AE50" s="40">
        <v>6050</v>
      </c>
      <c r="AF50" s="39">
        <v>-966</v>
      </c>
      <c r="AG50" s="38">
        <f t="shared" si="6"/>
        <v>605.43340220385676</v>
      </c>
      <c r="AH50" s="39">
        <f t="shared" si="7"/>
        <v>-0.44561688110341596</v>
      </c>
      <c r="AI50" s="40">
        <f t="shared" si="8"/>
        <v>13319.534848484849</v>
      </c>
      <c r="AJ50" s="39">
        <f t="shared" si="9"/>
        <v>-9.803571384275152</v>
      </c>
    </row>
    <row r="51" spans="1:36">
      <c r="A51" s="56" t="s">
        <v>103</v>
      </c>
      <c r="B51" s="57" t="s">
        <v>62</v>
      </c>
      <c r="C51" s="57" t="s">
        <v>63</v>
      </c>
      <c r="D51" s="58"/>
      <c r="E51" s="59">
        <v>60.873848000000002</v>
      </c>
      <c r="F51" s="57">
        <v>-146.68379999999999</v>
      </c>
      <c r="G51" s="60">
        <f t="shared" si="11"/>
        <v>1</v>
      </c>
      <c r="H51" s="61">
        <v>0</v>
      </c>
      <c r="I51" s="62"/>
      <c r="J51" s="62">
        <v>5</v>
      </c>
      <c r="K51" s="62">
        <v>40</v>
      </c>
      <c r="L51" s="63">
        <f t="shared" si="1"/>
        <v>4.2961785491805039E-4</v>
      </c>
      <c r="M51" s="61">
        <f>VLOOKUP(B51, 'Region Breakdown'!$A$2:$H$98, 8, FALSE)</f>
        <v>0.155</v>
      </c>
      <c r="N51" s="64">
        <v>69</v>
      </c>
      <c r="O51" s="62">
        <v>17</v>
      </c>
      <c r="P51" s="62">
        <f>VLOOKUP(B51, 'Region Breakdown'!$A$2:$K$98, 11, FALSE)</f>
        <v>1838</v>
      </c>
      <c r="Q51" s="61">
        <f>VLOOKUP(B51, 'Region Breakdown'!$A$2:$M$98, 13, FALSE)</f>
        <v>0.34745179063360881</v>
      </c>
      <c r="R51" s="61">
        <f>VLOOKUP(B51, 'Region Breakdown'!$A$2:$N$98, 14, FALSE)</f>
        <v>0.54</v>
      </c>
      <c r="S51" s="61">
        <f t="shared" si="2"/>
        <v>0.4437258953168044</v>
      </c>
      <c r="T51" s="61">
        <f t="shared" si="3"/>
        <v>0.5562741046831956</v>
      </c>
      <c r="U51" s="65">
        <f>VLOOKUP(B51, 'Region Breakdown'!$A$2:$P$98, 16, FALSE)</f>
        <v>0.8715925394548063</v>
      </c>
      <c r="V51" s="66">
        <f t="shared" si="4"/>
        <v>14.817073170731707</v>
      </c>
      <c r="W51" s="61">
        <f>VLOOKUP(B51, 'Region Breakdown'!$A$2:$R$98, 18, FALSE)</f>
        <v>4.483500717360115E-2</v>
      </c>
      <c r="X51" s="67">
        <f t="shared" si="5"/>
        <v>0.76219512195121952</v>
      </c>
      <c r="Y51" s="68">
        <v>-13983</v>
      </c>
      <c r="Z51" s="58">
        <v>724</v>
      </c>
      <c r="AA51" s="69">
        <v>8257</v>
      </c>
      <c r="AB51" s="69">
        <v>-4587</v>
      </c>
      <c r="AC51" s="64">
        <v>-8184</v>
      </c>
      <c r="AD51" s="62">
        <v>547</v>
      </c>
      <c r="AE51" s="62">
        <v>6336</v>
      </c>
      <c r="AF51" s="70">
        <v>-3703</v>
      </c>
      <c r="AG51" s="64">
        <f t="shared" si="6"/>
        <v>625.53948347107439</v>
      </c>
      <c r="AH51" s="70">
        <f t="shared" si="7"/>
        <v>-1.8575743124167492</v>
      </c>
      <c r="AI51" s="62">
        <f t="shared" si="8"/>
        <v>10634.171219008265</v>
      </c>
      <c r="AJ51" s="70">
        <f t="shared" si="9"/>
        <v>-31.578763311084735</v>
      </c>
    </row>
    <row r="52" spans="1:36">
      <c r="A52" s="55"/>
      <c r="B52" s="43"/>
      <c r="C52" s="43"/>
      <c r="D52" s="43"/>
      <c r="E52" s="43"/>
      <c r="F52" s="43"/>
      <c r="G52" s="43"/>
      <c r="H52" s="43"/>
      <c r="I52" s="43"/>
      <c r="J52" s="43"/>
      <c r="K52" s="43"/>
      <c r="L52" s="46"/>
      <c r="M52" s="43"/>
      <c r="N52" s="43"/>
      <c r="O52" s="43"/>
      <c r="P52" s="43"/>
      <c r="Q52" s="43"/>
      <c r="R52" s="43"/>
      <c r="S52" s="43"/>
      <c r="T52" s="43"/>
      <c r="U52" s="71"/>
      <c r="V52" s="71"/>
      <c r="W52" s="46"/>
      <c r="X52" s="46"/>
      <c r="Y52" s="40"/>
      <c r="Z52" s="40"/>
      <c r="AA52" s="40"/>
      <c r="AJ52" s="40"/>
    </row>
    <row r="53" spans="1:36">
      <c r="A53" s="55"/>
      <c r="B53" s="43"/>
      <c r="C53" s="43"/>
      <c r="D53" s="43"/>
      <c r="E53" s="43"/>
      <c r="F53" s="43"/>
      <c r="G53" s="43"/>
      <c r="H53" s="43"/>
      <c r="I53" s="43"/>
      <c r="J53" s="43"/>
      <c r="K53" s="43"/>
      <c r="L53" s="43"/>
      <c r="M53" s="43"/>
      <c r="N53" s="43"/>
      <c r="O53" s="43"/>
      <c r="P53" s="43"/>
      <c r="Q53" s="43"/>
      <c r="R53" s="43"/>
      <c r="S53" s="43"/>
      <c r="T53" s="43"/>
      <c r="U53" s="72"/>
      <c r="V53" s="72"/>
      <c r="W53" s="43"/>
      <c r="X53" s="43"/>
      <c r="Y53" s="43"/>
      <c r="Z53" s="43"/>
      <c r="AA53" s="43"/>
      <c r="AJ53" s="40"/>
    </row>
    <row r="54" spans="1:36">
      <c r="A54" s="41"/>
      <c r="Y54" s="40"/>
      <c r="Z54" s="40"/>
      <c r="AA54" s="40"/>
      <c r="AH54" s="40"/>
      <c r="AI54" s="40"/>
      <c r="AJ54" s="40"/>
    </row>
  </sheetData>
  <mergeCells count="8">
    <mergeCell ref="Y1:AF1"/>
    <mergeCell ref="E2:E3"/>
    <mergeCell ref="F2:F3"/>
    <mergeCell ref="G2:H2"/>
    <mergeCell ref="M2:M3"/>
    <mergeCell ref="N2:X2"/>
    <mergeCell ref="Y2:AB2"/>
    <mergeCell ref="AC2:AF2"/>
  </mergeCells>
  <conditionalFormatting sqref="G4:G51 H38">
    <cfRule type="cellIs" dxfId="7" priority="3" operator="greaterThanOrEqual">
      <formula>50</formula>
    </cfRule>
  </conditionalFormatting>
  <conditionalFormatting sqref="H4:H51">
    <cfRule type="cellIs" dxfId="6" priority="4" operator="greaterThanOrEqual">
      <formula>50</formula>
    </cfRule>
  </conditionalFormatting>
  <conditionalFormatting sqref="L4:L51">
    <cfRule type="colorScale" priority="6">
      <colorScale>
        <cfvo type="percent" val="0"/>
        <cfvo type="percent" val="5"/>
        <cfvo type="percent" val="100"/>
        <color rgb="FFFFFFFF"/>
        <color rgb="FFA4C2F4"/>
        <color rgb="FF6D9EEB"/>
      </colorScale>
    </cfRule>
  </conditionalFormatting>
  <conditionalFormatting sqref="Y4:Y51 AB4:AC51 AF4:AF51 Y54 AH54:AJ54">
    <cfRule type="cellIs" dxfId="5" priority="1" operator="greaterThanOrEqual">
      <formula>0</formula>
    </cfRule>
    <cfRule type="cellIs" dxfId="4" priority="2" operator="lessThan">
      <formula>0</formula>
    </cfRule>
  </conditionalFormatting>
  <conditionalFormatting sqref="AH4:AI51 AJ4:AJ53">
    <cfRule type="cellIs" dxfId="3" priority="5" operator="lessThan">
      <formula>0</formula>
    </cfRule>
  </conditionalFormatting>
  <hyperlinks>
    <hyperlink ref="Y1" r:id="rId1" xr:uid="{00000000-0004-0000-0000-000000000000}"/>
    <hyperlink ref="K3" r:id="rId2" xr:uid="{00000000-0004-0000-0000-000001000000}"/>
    <hyperlink ref="N3" r:id="rId3" location="place=geoId%2F0200650&amp;statsVar=Count_Person__Count_HousingUnit__Count_HousingUnit_OccupiedHousingUnit&amp;chart=%7B%22count-none%22%3A%7B%22pc%22%3Afalse%2C%22delta%22%3Afalse%7D%7D" xr:uid="{00000000-0004-0000-0000-000002000000}"/>
    <hyperlink ref="O3" r:id="rId4" location="place=geoId%2F0200650&amp;statsVar=Count_Person__Count_HousingUnit__Count_HousingUnit_OccupiedHousingUnit&amp;chart=%7B%22count-none%22%3A%7B%22pc%22%3Afalse%2C%22delta%22%3Afalse%7D%7D" xr:uid="{00000000-0004-0000-0000-000003000000}"/>
  </hyperlinks>
  <pageMargins left="0.7" right="0.7" top="0.75" bottom="0.75" header="0" footer="0"/>
  <pageSetup scale="41" orientation="landscape"/>
  <tableParts count="1">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AA84F"/>
  </sheetPr>
  <dimension ref="A1:R998"/>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5" defaultRowHeight="15" customHeight="1"/>
  <cols>
    <col min="1" max="1" width="30.5" customWidth="1"/>
    <col min="2" max="2" width="35" customWidth="1"/>
    <col min="3" max="4" width="5.83203125" hidden="1" customWidth="1"/>
    <col min="5" max="5" width="10.5" customWidth="1"/>
    <col min="6" max="8" width="7.5" hidden="1" customWidth="1"/>
    <col min="9" max="10" width="8.6640625" customWidth="1"/>
    <col min="11" max="11" width="8.5" customWidth="1"/>
    <col min="12" max="12" width="4.6640625" hidden="1" customWidth="1"/>
    <col min="13" max="13" width="8.5" customWidth="1"/>
    <col min="14" max="14" width="6.1640625" customWidth="1"/>
    <col min="15" max="15" width="7" customWidth="1"/>
    <col min="16" max="16" width="4.6640625" customWidth="1"/>
    <col min="17" max="17" width="5.83203125" customWidth="1"/>
    <col min="18" max="18" width="5.5" customWidth="1"/>
  </cols>
  <sheetData>
    <row r="1" spans="1:18" ht="108.75" customHeight="1">
      <c r="A1" s="73" t="s">
        <v>8</v>
      </c>
      <c r="B1" s="73" t="s">
        <v>104</v>
      </c>
      <c r="C1" s="74" t="s">
        <v>105</v>
      </c>
      <c r="D1" s="75" t="s">
        <v>106</v>
      </c>
      <c r="E1" s="76" t="s">
        <v>15</v>
      </c>
      <c r="F1" s="9" t="s">
        <v>107</v>
      </c>
      <c r="G1" s="9" t="s">
        <v>108</v>
      </c>
      <c r="H1" s="9"/>
      <c r="I1" s="76" t="s">
        <v>17</v>
      </c>
      <c r="J1" s="77" t="s">
        <v>18</v>
      </c>
      <c r="K1" s="4" t="s">
        <v>19</v>
      </c>
      <c r="L1" s="4" t="s">
        <v>109</v>
      </c>
      <c r="M1" s="4" t="s">
        <v>20</v>
      </c>
      <c r="N1" s="4" t="s">
        <v>21</v>
      </c>
      <c r="O1" s="78" t="s">
        <v>110</v>
      </c>
      <c r="P1" s="3" t="s">
        <v>24</v>
      </c>
      <c r="Q1" s="78" t="s">
        <v>111</v>
      </c>
      <c r="R1" s="79" t="s">
        <v>26</v>
      </c>
    </row>
    <row r="2" spans="1:18" ht="16">
      <c r="A2" s="80" t="s">
        <v>62</v>
      </c>
      <c r="B2" s="81" t="str">
        <f ca="1">IFERROR(__xludf.DUMMYFUNCTION("JOIN("", "", FILTER('Community Breakdown'!$A$4:$A$100, 'Community Breakdown'!$B$4:$B$100 = A2))
"),"Valdez, Cordova, Whittier, Chenega, Tatitlek")</f>
        <v>Valdez, Cordova, Whittier, Chenega, Tatitlek</v>
      </c>
      <c r="C2" s="23"/>
      <c r="D2" s="25"/>
      <c r="E2" s="82">
        <f>IF(A2&lt;&gt;"", SUMIF('Community Breakdown'!$B$4:$B$99, A2, 'Community Breakdown'!$K$4:$K$99), "")</f>
        <v>6743</v>
      </c>
      <c r="F2" s="83"/>
      <c r="G2" s="83"/>
      <c r="H2" s="83">
        <v>0.155</v>
      </c>
      <c r="I2" s="84">
        <v>5808</v>
      </c>
      <c r="J2" s="85">
        <v>2788</v>
      </c>
      <c r="K2" s="30">
        <v>1838</v>
      </c>
      <c r="L2" s="86">
        <v>0.1</v>
      </c>
      <c r="M2" s="86">
        <f>2018/I2</f>
        <v>0.34745179063360881</v>
      </c>
      <c r="N2" s="86">
        <v>0.54</v>
      </c>
      <c r="O2" s="85">
        <v>2430</v>
      </c>
      <c r="P2" s="86">
        <f t="shared" ref="P2:P14" si="0">O2/J2</f>
        <v>0.8715925394548063</v>
      </c>
      <c r="Q2" s="85">
        <v>125</v>
      </c>
      <c r="R2" s="87">
        <f t="shared" ref="R2:R14" si="1">Q2/J2</f>
        <v>4.483500717360115E-2</v>
      </c>
    </row>
    <row r="3" spans="1:18" ht="16">
      <c r="A3" s="88" t="s">
        <v>57</v>
      </c>
      <c r="B3" s="89" t="str">
        <f ca="1">IFERROR(__xludf.DUMMYFUNCTION("JOIN("", "", FILTER('Community Breakdown'!$A$4:$A$100, 'Community Breakdown'!$B$4:$B$100 = A3))
"),"Haines")</f>
        <v>Haines</v>
      </c>
      <c r="C3" s="41"/>
      <c r="D3" s="43"/>
      <c r="E3" s="90">
        <f>IF(A3&lt;&gt;"", SUMIF('Community Breakdown'!$B$4:$B$99, A3, 'Community Breakdown'!$K$4:$K$99), "")</f>
        <v>1370</v>
      </c>
      <c r="F3" s="46"/>
      <c r="G3" s="46"/>
      <c r="H3" s="46">
        <v>0.17929999999999999</v>
      </c>
      <c r="I3" s="38">
        <v>1415</v>
      </c>
      <c r="J3" s="54">
        <v>966</v>
      </c>
      <c r="K3" s="40">
        <v>1751</v>
      </c>
      <c r="L3" s="91">
        <v>0.17</v>
      </c>
      <c r="M3" s="91">
        <f>280/I3</f>
        <v>0.19787985865724381</v>
      </c>
      <c r="N3" s="91">
        <v>0.54</v>
      </c>
      <c r="O3" s="92">
        <v>442</v>
      </c>
      <c r="P3" s="91">
        <f t="shared" si="0"/>
        <v>0.45755693581780538</v>
      </c>
      <c r="Q3" s="92">
        <v>13</v>
      </c>
      <c r="R3" s="93">
        <f t="shared" si="1"/>
        <v>1.3457556935817806E-2</v>
      </c>
    </row>
    <row r="4" spans="1:18" ht="14.25" customHeight="1">
      <c r="A4" s="88" t="s">
        <v>70</v>
      </c>
      <c r="B4" s="89" t="str">
        <f ca="1">IFERROR(__xludf.DUMMYFUNCTION("JOIN("", "", FILTER('Community Breakdown'!$A$4:$A$100, 'Community Breakdown'!$B$4:$B$100 = A4))
"),"Gustavus, Pelican, Angoon, Hoonah, Klukwan, Tenakee Springs")</f>
        <v>Gustavus, Pelican, Angoon, Hoonah, Klukwan, Tenakee Springs</v>
      </c>
      <c r="C4" s="41"/>
      <c r="D4" s="43"/>
      <c r="E4" s="90">
        <f>IF(A4&lt;&gt;"", SUMIF('Community Breakdown'!$B$4:$B$99, A4, 'Community Breakdown'!$K$4:$K$99), "")</f>
        <v>2182</v>
      </c>
      <c r="F4" s="94"/>
      <c r="G4" s="94"/>
      <c r="H4" s="94">
        <v>0.46679999999999999</v>
      </c>
      <c r="I4" s="95">
        <v>1509</v>
      </c>
      <c r="J4" s="92">
        <v>979</v>
      </c>
      <c r="K4" s="50">
        <v>1260</v>
      </c>
      <c r="L4" s="91">
        <v>0.2</v>
      </c>
      <c r="M4" s="91">
        <f>524/I4</f>
        <v>0.34724983432736911</v>
      </c>
      <c r="N4" s="91">
        <v>0.68</v>
      </c>
      <c r="O4" s="92">
        <v>520</v>
      </c>
      <c r="P4" s="91">
        <f t="shared" si="0"/>
        <v>0.5311542390194075</v>
      </c>
      <c r="Q4" s="92">
        <v>16</v>
      </c>
      <c r="R4" s="93">
        <f t="shared" si="1"/>
        <v>1.634320735444331E-2</v>
      </c>
    </row>
    <row r="5" spans="1:18" ht="14.25" customHeight="1">
      <c r="A5" s="88" t="s">
        <v>41</v>
      </c>
      <c r="B5" s="89" t="str">
        <f ca="1">IFERROR(__xludf.DUMMYFUNCTION("JOIN("", "", FILTER('Community Breakdown'!$A$4:$A$100, 'Community Breakdown'!$B$4:$B$100 = A5))
"),"Juneau")</f>
        <v>Juneau</v>
      </c>
      <c r="C5" s="41"/>
      <c r="D5" s="43"/>
      <c r="E5" s="90">
        <f>IF(A5&lt;&gt;"", SUMIF('Community Breakdown'!$B$4:$B$99, A5, 'Community Breakdown'!$K$4:$K$99), "")</f>
        <v>31700</v>
      </c>
      <c r="F5" s="46"/>
      <c r="G5" s="46"/>
      <c r="H5" s="46">
        <v>0.2107</v>
      </c>
      <c r="I5" s="38">
        <v>13549</v>
      </c>
      <c r="J5" s="54">
        <v>12940</v>
      </c>
      <c r="K5" s="40">
        <v>1841</v>
      </c>
      <c r="L5" s="91">
        <v>0.1</v>
      </c>
      <c r="M5" s="91">
        <f>3884/I5</f>
        <v>0.28666322237803527</v>
      </c>
      <c r="N5" s="91">
        <v>0.57999999999999996</v>
      </c>
      <c r="O5" s="92">
        <v>8104</v>
      </c>
      <c r="P5" s="91">
        <f t="shared" si="0"/>
        <v>0.62627511591962903</v>
      </c>
      <c r="Q5" s="92">
        <v>4149</v>
      </c>
      <c r="R5" s="93">
        <f t="shared" si="1"/>
        <v>0.32063369397217928</v>
      </c>
    </row>
    <row r="6" spans="1:18" ht="14.25" customHeight="1">
      <c r="A6" s="88" t="s">
        <v>66</v>
      </c>
      <c r="B6" s="89" t="str">
        <f ca="1">IFERROR(__xludf.DUMMYFUNCTION("JOIN("", "", FILTER('Community Breakdown'!$A$4:$A$100, 'Community Breakdown'!$B$4:$B$100 = A6))
"),"Seward, Homer, Port Graham, Seldovia, Nanwalek")</f>
        <v>Seward, Homer, Port Graham, Seldovia, Nanwalek</v>
      </c>
      <c r="C6" s="41"/>
      <c r="D6" s="43"/>
      <c r="E6" s="90">
        <f>IF(A6&lt;&gt;"", SUMIF('Community Breakdown'!$B$4:$B$99, A6, 'Community Breakdown'!$K$4:$K$99), "")</f>
        <v>9286</v>
      </c>
      <c r="F6" s="94"/>
      <c r="G6" s="94"/>
      <c r="H6" s="94">
        <v>0.2467</v>
      </c>
      <c r="I6" s="95">
        <v>25801</v>
      </c>
      <c r="J6" s="92">
        <v>23873</v>
      </c>
      <c r="K6" s="50">
        <v>2006</v>
      </c>
      <c r="L6" s="91">
        <v>0.04</v>
      </c>
      <c r="M6" s="91">
        <f>7756/I6</f>
        <v>0.3006085035463742</v>
      </c>
      <c r="N6" s="91">
        <v>0.28000000000000003</v>
      </c>
      <c r="O6" s="92">
        <v>18877</v>
      </c>
      <c r="P6" s="91">
        <f t="shared" si="0"/>
        <v>0.7907259246847903</v>
      </c>
      <c r="Q6" s="92">
        <v>1888</v>
      </c>
      <c r="R6" s="93">
        <f t="shared" si="1"/>
        <v>7.9085158966196126E-2</v>
      </c>
    </row>
    <row r="7" spans="1:18" ht="14.25" customHeight="1">
      <c r="A7" s="88" t="s">
        <v>50</v>
      </c>
      <c r="B7" s="89" t="str">
        <f ca="1">IFERROR(__xludf.DUMMYFUNCTION("JOIN("", "", FILTER('Community Breakdown'!$A$4:$A$100, 'Community Breakdown'!$B$4:$B$100 = A7))
"),"Ketchikan, Saxman")</f>
        <v>Ketchikan, Saxman</v>
      </c>
      <c r="C7" s="41"/>
      <c r="D7" s="43"/>
      <c r="E7" s="90">
        <f>IF(A7&lt;&gt;"", SUMIF('Community Breakdown'!$B$4:$B$99, A7, 'Community Breakdown'!$K$4:$K$99), "")</f>
        <v>8450</v>
      </c>
      <c r="F7" s="46"/>
      <c r="G7" s="46"/>
      <c r="H7" s="46">
        <v>0.2467</v>
      </c>
      <c r="I7" s="38">
        <v>6260</v>
      </c>
      <c r="J7" s="54">
        <v>5479</v>
      </c>
      <c r="K7" s="40">
        <v>1778</v>
      </c>
      <c r="L7" s="91">
        <v>0.25</v>
      </c>
      <c r="M7" s="91">
        <f>2082/I7</f>
        <v>0.33258785942492014</v>
      </c>
      <c r="N7" s="91">
        <v>0.74</v>
      </c>
      <c r="O7" s="92">
        <v>3011</v>
      </c>
      <c r="P7" s="91">
        <f t="shared" si="0"/>
        <v>0.54955283810914402</v>
      </c>
      <c r="Q7" s="92">
        <v>2121</v>
      </c>
      <c r="R7" s="93">
        <f t="shared" si="1"/>
        <v>0.38711443694104763</v>
      </c>
    </row>
    <row r="8" spans="1:18" ht="14.25" customHeight="1">
      <c r="A8" s="88" t="s">
        <v>37</v>
      </c>
      <c r="B8" s="89" t="str">
        <f ca="1">IFERROR(__xludf.DUMMYFUNCTION("JOIN("", "", FILTER('Community Breakdown'!$A$4:$A$100, 'Community Breakdown'!$B$4:$B$100 = A8))
"),"Kodiak, Port Lions, Larsen Bay, Old Harbor, Ouzinkie, Akhiok")</f>
        <v>Kodiak, Port Lions, Larsen Bay, Old Harbor, Ouzinkie, Akhiok</v>
      </c>
      <c r="C8" s="41"/>
      <c r="D8" s="43"/>
      <c r="E8" s="90">
        <f>IF(A8&lt;&gt;"", SUMIF('Community Breakdown'!$B$4:$B$99, A8, 'Community Breakdown'!$K$4:$K$99), "")</f>
        <v>5999</v>
      </c>
      <c r="F8" s="94"/>
      <c r="G8" s="94"/>
      <c r="H8" s="94">
        <v>0.19209999999999999</v>
      </c>
      <c r="I8" s="95">
        <v>5258</v>
      </c>
      <c r="J8" s="92">
        <v>4612</v>
      </c>
      <c r="K8" s="50">
        <v>1854</v>
      </c>
      <c r="L8" s="91">
        <v>0.08</v>
      </c>
      <c r="M8" s="91">
        <f>2026/I8</f>
        <v>0.38531761125903385</v>
      </c>
      <c r="N8" s="91">
        <v>0.53</v>
      </c>
      <c r="O8" s="92">
        <v>3374</v>
      </c>
      <c r="P8" s="91">
        <f t="shared" si="0"/>
        <v>0.73156981786643538</v>
      </c>
      <c r="Q8" s="92">
        <v>699</v>
      </c>
      <c r="R8" s="93">
        <f t="shared" si="1"/>
        <v>0.15156114483954899</v>
      </c>
    </row>
    <row r="9" spans="1:18" ht="14.25" customHeight="1">
      <c r="A9" s="88" t="s">
        <v>44</v>
      </c>
      <c r="B9" s="89" t="str">
        <f ca="1">IFERROR(__xludf.DUMMYFUNCTION("JOIN("", "", FILTER('Community Breakdown'!$A$4:$A$100, 'Community Breakdown'!$B$4:$B$100 = A9))
"),"Petersburg, Kupreanof")</f>
        <v>Petersburg, Kupreanof</v>
      </c>
      <c r="C9" s="41"/>
      <c r="D9" s="43"/>
      <c r="E9" s="90">
        <f>IF(A9&lt;&gt;"", SUMIF('Community Breakdown'!$B$4:$B$99, A9, 'Community Breakdown'!$K$4:$K$99), "")</f>
        <v>2809</v>
      </c>
      <c r="F9" s="46"/>
      <c r="G9" s="46"/>
      <c r="H9" s="46">
        <v>0.1421</v>
      </c>
      <c r="I9" s="38">
        <v>1830</v>
      </c>
      <c r="J9" s="54">
        <v>1367</v>
      </c>
      <c r="K9" s="40">
        <v>1750</v>
      </c>
      <c r="L9" s="91">
        <v>0.19</v>
      </c>
      <c r="M9" s="91">
        <f>720/I9</f>
        <v>0.39344262295081966</v>
      </c>
      <c r="N9" s="91">
        <v>0.67</v>
      </c>
      <c r="O9" s="92">
        <v>562</v>
      </c>
      <c r="P9" s="91">
        <f t="shared" si="0"/>
        <v>0.41111923920994881</v>
      </c>
      <c r="Q9" s="92">
        <v>620</v>
      </c>
      <c r="R9" s="93">
        <f t="shared" si="1"/>
        <v>0.45354791514264814</v>
      </c>
    </row>
    <row r="10" spans="1:18" ht="14.25" customHeight="1">
      <c r="A10" s="88" t="s">
        <v>72</v>
      </c>
      <c r="B10" s="89" t="str">
        <f ca="1">IFERROR(__xludf.DUMMYFUNCTION("JOIN("", "", FILTER('Community Breakdown'!$A$4:$A$100, 'Community Breakdown'!$B$4:$B$100 = A10))
"),"Coffman Cove, Craig, Hollis, Hydaburg, Kasaan, Klawock, Naukati, Thorne Bay, Edna Bay, Hyder, Metlakatla, Kake, Port Alexander, Point Baker, Port Protection, Whale Pass")</f>
        <v>Coffman Cove, Craig, Hollis, Hydaburg, Kasaan, Klawock, Naukati, Thorne Bay, Edna Bay, Hyder, Metlakatla, Kake, Port Alexander, Point Baker, Port Protection, Whale Pass</v>
      </c>
      <c r="C10" s="41"/>
      <c r="D10" s="43"/>
      <c r="E10" s="90">
        <f>IF(A10&lt;&gt;"", SUMIF('Community Breakdown'!$B$4:$B$99, A10, 'Community Breakdown'!$K$4:$K$99), "")</f>
        <v>5162</v>
      </c>
      <c r="F10" s="94"/>
      <c r="G10" s="94"/>
      <c r="H10" s="94">
        <v>0.5474</v>
      </c>
      <c r="I10" s="95">
        <v>3098</v>
      </c>
      <c r="J10" s="92">
        <v>2312</v>
      </c>
      <c r="K10" s="50">
        <v>1258</v>
      </c>
      <c r="L10" s="91">
        <v>0.22</v>
      </c>
      <c r="M10" s="91">
        <f>946/I10</f>
        <v>0.3053582956746288</v>
      </c>
      <c r="N10" s="91">
        <v>0.77</v>
      </c>
      <c r="O10" s="92">
        <v>1012</v>
      </c>
      <c r="P10" s="91">
        <f t="shared" si="0"/>
        <v>0.43771626297577854</v>
      </c>
      <c r="Q10" s="92">
        <v>323</v>
      </c>
      <c r="R10" s="93">
        <f t="shared" si="1"/>
        <v>0.13970588235294118</v>
      </c>
    </row>
    <row r="11" spans="1:18" ht="14.25" customHeight="1">
      <c r="A11" s="88" t="s">
        <v>54</v>
      </c>
      <c r="B11" s="89" t="str">
        <f ca="1">IFERROR(__xludf.DUMMYFUNCTION("JOIN("", "", FILTER('Community Breakdown'!$A$4:$A$100, 'Community Breakdown'!$B$4:$B$100 = A11))
"),"Sitka")</f>
        <v>Sitka</v>
      </c>
      <c r="C11" s="41"/>
      <c r="D11" s="43"/>
      <c r="E11" s="90">
        <f>IF(A11&lt;&gt;"", SUMIF('Community Breakdown'!$B$4:$B$99, A11, 'Community Breakdown'!$K$4:$K$99), "")</f>
        <v>8380</v>
      </c>
      <c r="F11" s="46"/>
      <c r="G11" s="46"/>
      <c r="H11" s="46">
        <v>0.24379999999999999</v>
      </c>
      <c r="I11" s="38">
        <v>4307</v>
      </c>
      <c r="J11" s="54">
        <v>3421</v>
      </c>
      <c r="K11" s="40">
        <v>1689</v>
      </c>
      <c r="L11" s="91">
        <v>0.13</v>
      </c>
      <c r="M11" s="91">
        <f>1515/I11</f>
        <v>0.35175296029719061</v>
      </c>
      <c r="N11" s="91">
        <v>0.56999999999999995</v>
      </c>
      <c r="O11" s="92">
        <v>1873</v>
      </c>
      <c r="P11" s="91">
        <f t="shared" si="0"/>
        <v>0.54750073078047357</v>
      </c>
      <c r="Q11" s="92">
        <v>1393</v>
      </c>
      <c r="R11" s="93">
        <f t="shared" si="1"/>
        <v>0.40719087985969016</v>
      </c>
    </row>
    <row r="12" spans="1:18" ht="14.25" customHeight="1">
      <c r="A12" s="88" t="s">
        <v>60</v>
      </c>
      <c r="B12" s="89" t="str">
        <f ca="1">IFERROR(__xludf.DUMMYFUNCTION("JOIN("", "", FILTER('Community Breakdown'!$A$4:$A$100, 'Community Breakdown'!$B$4:$B$100 = A12))
"),"Skagway")</f>
        <v>Skagway</v>
      </c>
      <c r="C12" s="41"/>
      <c r="D12" s="43"/>
      <c r="E12" s="90">
        <f>IF(A12&lt;&gt;"", SUMIF('Community Breakdown'!$B$4:$B$99, A12, 'Community Breakdown'!$K$4:$K$99), "")</f>
        <v>741</v>
      </c>
      <c r="F12" s="94"/>
      <c r="G12" s="94"/>
      <c r="H12" s="94">
        <v>5.8099999999999999E-2</v>
      </c>
      <c r="I12" s="95">
        <v>718</v>
      </c>
      <c r="J12" s="92">
        <v>531</v>
      </c>
      <c r="K12" s="50">
        <v>1689</v>
      </c>
      <c r="L12" s="91">
        <v>0.17</v>
      </c>
      <c r="M12" s="91">
        <f>223/I12</f>
        <v>0.31058495821727017</v>
      </c>
      <c r="N12" s="91">
        <v>0.57999999999999996</v>
      </c>
      <c r="O12" s="92">
        <v>355</v>
      </c>
      <c r="P12" s="91">
        <f t="shared" si="0"/>
        <v>0.66854990583804141</v>
      </c>
      <c r="Q12" s="92">
        <v>16</v>
      </c>
      <c r="R12" s="93">
        <f t="shared" si="1"/>
        <v>3.0131826741996232E-2</v>
      </c>
    </row>
    <row r="13" spans="1:18" ht="14.25" customHeight="1">
      <c r="A13" s="88" t="s">
        <v>48</v>
      </c>
      <c r="B13" s="89" t="str">
        <f ca="1">IFERROR(__xludf.DUMMYFUNCTION("JOIN("", "", FILTER('Community Breakdown'!$A$4:$A$100, 'Community Breakdown'!$B$4:$B$100 = A13))
"),"Wrangell")</f>
        <v>Wrangell</v>
      </c>
      <c r="C13" s="41"/>
      <c r="D13" s="43"/>
      <c r="E13" s="90">
        <f>IF(A13&lt;&gt;"", SUMIF('Community Breakdown'!$B$4:$B$99, A13, 'Community Breakdown'!$K$4:$K$99), "")</f>
        <v>2070</v>
      </c>
      <c r="F13" s="94"/>
      <c r="G13" s="94"/>
      <c r="H13" s="94">
        <v>0.30459999999999998</v>
      </c>
      <c r="I13" s="95">
        <v>1468</v>
      </c>
      <c r="J13" s="92">
        <v>933</v>
      </c>
      <c r="K13" s="50">
        <v>1800</v>
      </c>
      <c r="L13" s="91">
        <v>0.23</v>
      </c>
      <c r="M13" s="91">
        <f>547/I13</f>
        <v>0.37261580381471388</v>
      </c>
      <c r="N13" s="91">
        <v>0.66</v>
      </c>
      <c r="O13" s="92">
        <v>281</v>
      </c>
      <c r="P13" s="91">
        <f t="shared" si="0"/>
        <v>0.3011789924973205</v>
      </c>
      <c r="Q13" s="92">
        <v>574</v>
      </c>
      <c r="R13" s="93">
        <f t="shared" si="1"/>
        <v>0.61521972132904612</v>
      </c>
    </row>
    <row r="14" spans="1:18" ht="14.25" customHeight="1">
      <c r="A14" s="96" t="s">
        <v>96</v>
      </c>
      <c r="B14" s="97" t="str">
        <f ca="1">IFERROR(__xludf.DUMMYFUNCTION("JOIN("", "", FILTER('Community Breakdown'!$A$4:$A$100, 'Community Breakdown'!$B$4:$B$100 = A14))
"),"Yakutat")</f>
        <v>Yakutat</v>
      </c>
      <c r="C14" s="59"/>
      <c r="D14" s="58"/>
      <c r="E14" s="98">
        <f>IF(A14&lt;&gt;"", SUMIF('Community Breakdown'!$B$4:$B$99, A14, 'Community Breakdown'!$K$4:$K$99), "")</f>
        <v>564</v>
      </c>
      <c r="F14" s="99"/>
      <c r="G14" s="99"/>
      <c r="H14" s="99">
        <v>0.5242</v>
      </c>
      <c r="I14" s="100">
        <v>373</v>
      </c>
      <c r="J14" s="101">
        <v>265</v>
      </c>
      <c r="K14" s="102">
        <v>1116</v>
      </c>
      <c r="L14" s="103">
        <v>7.0000000000000007E-2</v>
      </c>
      <c r="M14" s="103">
        <f>123/I14</f>
        <v>0.32975871313672922</v>
      </c>
      <c r="N14" s="103">
        <v>0.6</v>
      </c>
      <c r="O14" s="101">
        <v>197</v>
      </c>
      <c r="P14" s="103">
        <f t="shared" si="0"/>
        <v>0.74339622641509429</v>
      </c>
      <c r="Q14" s="101">
        <v>4</v>
      </c>
      <c r="R14" s="104">
        <f t="shared" si="1"/>
        <v>1.509433962264151E-2</v>
      </c>
    </row>
    <row r="15" spans="1:18" ht="14.25" customHeight="1">
      <c r="E15" s="40"/>
      <c r="N15" s="105"/>
      <c r="O15" s="105"/>
      <c r="P15" s="106"/>
      <c r="Q15" s="105"/>
      <c r="R15" s="105"/>
    </row>
    <row r="16" spans="1:18" ht="14.25" customHeight="1"/>
    <row r="17" spans="12:12" ht="14.25" customHeight="1"/>
    <row r="18" spans="12:12" ht="14.25" customHeight="1"/>
    <row r="19" spans="12:12" ht="14.25" customHeight="1"/>
    <row r="20" spans="12:12" ht="14.25" customHeight="1"/>
    <row r="21" spans="12:12" ht="14.25" customHeight="1">
      <c r="L21" s="107"/>
    </row>
    <row r="22" spans="12:12" ht="14.25" customHeight="1"/>
    <row r="23" spans="12:12" ht="14.25" customHeight="1">
      <c r="L23" s="107"/>
    </row>
    <row r="24" spans="12:12" ht="14.25" customHeight="1"/>
    <row r="25" spans="12:12" ht="14.25" customHeight="1">
      <c r="L25" s="107"/>
    </row>
    <row r="26" spans="12:12" ht="14.25" customHeight="1"/>
    <row r="27" spans="12:12" ht="14.25" customHeight="1">
      <c r="L27" s="107"/>
    </row>
    <row r="28" spans="12:12" ht="14.25" customHeight="1"/>
    <row r="29" spans="12:12" ht="14.25" customHeight="1">
      <c r="L29" s="107"/>
    </row>
    <row r="30" spans="12:12" ht="14.25" customHeight="1">
      <c r="L30" s="107"/>
    </row>
    <row r="31" spans="12:12" ht="14.25" customHeight="1">
      <c r="L31" s="107"/>
    </row>
    <row r="32" spans="12:12" ht="14.25" customHeight="1">
      <c r="L32" s="107"/>
    </row>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sheetData>
  <conditionalFormatting sqref="C2:C14">
    <cfRule type="cellIs" dxfId="2" priority="1" operator="greaterThanOrEqual">
      <formula>50</formula>
    </cfRule>
  </conditionalFormatting>
  <hyperlinks>
    <hyperlink ref="J1" r:id="rId1" xr:uid="{00000000-0004-0000-0100-000000000000}"/>
    <hyperlink ref="O1" r:id="rId2" xr:uid="{00000000-0004-0000-0100-000001000000}"/>
    <hyperlink ref="Q1" r:id="rId3" xr:uid="{00000000-0004-0000-0100-000002000000}"/>
  </hyperlinks>
  <pageMargins left="0.7" right="0.7" top="0.75" bottom="0.75" header="0" footer="0"/>
  <pageSetup scale="90" orientation="landscape"/>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6B26B"/>
  </sheetPr>
  <dimension ref="A1:AB1005"/>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5" defaultRowHeight="15" customHeight="1"/>
  <cols>
    <col min="1" max="1" width="30.5" customWidth="1"/>
    <col min="2" max="2" width="35.1640625" customWidth="1"/>
    <col min="3" max="4" width="5.83203125" hidden="1" customWidth="1"/>
    <col min="5" max="6" width="5.83203125" customWidth="1"/>
    <col min="7" max="8" width="8.6640625" customWidth="1"/>
    <col min="9" max="9" width="8.6640625" hidden="1" customWidth="1"/>
    <col min="10" max="12" width="7" customWidth="1"/>
    <col min="13" max="13" width="6.33203125" customWidth="1"/>
    <col min="14" max="14" width="6" customWidth="1"/>
    <col min="15" max="15" width="8.6640625" customWidth="1"/>
    <col min="16" max="16" width="16.5" customWidth="1"/>
    <col min="17" max="17" width="7.5" customWidth="1"/>
    <col min="18" max="19" width="10.1640625" customWidth="1"/>
    <col min="20" max="20" width="8.6640625" customWidth="1"/>
    <col min="21" max="21" width="7" customWidth="1"/>
    <col min="22" max="22" width="14.5" customWidth="1"/>
    <col min="23" max="23" width="7.5" customWidth="1"/>
    <col min="24" max="24" width="10.6640625" customWidth="1"/>
    <col min="25" max="25" width="8.6640625" customWidth="1"/>
    <col min="26" max="28" width="6.33203125" customWidth="1"/>
  </cols>
  <sheetData>
    <row r="1" spans="1:28" ht="117" customHeight="1">
      <c r="A1" s="108" t="s">
        <v>9</v>
      </c>
      <c r="B1" s="109" t="s">
        <v>112</v>
      </c>
      <c r="C1" s="110" t="s">
        <v>105</v>
      </c>
      <c r="D1" s="111" t="s">
        <v>106</v>
      </c>
      <c r="E1" s="112" t="s">
        <v>113</v>
      </c>
      <c r="F1" s="112" t="s">
        <v>114</v>
      </c>
      <c r="G1" s="112" t="s">
        <v>15</v>
      </c>
      <c r="H1" s="113" t="s">
        <v>115</v>
      </c>
      <c r="I1" s="113" t="s">
        <v>3</v>
      </c>
      <c r="J1" s="114" t="s">
        <v>17</v>
      </c>
      <c r="K1" s="115" t="s">
        <v>18</v>
      </c>
      <c r="L1" s="112" t="s">
        <v>110</v>
      </c>
      <c r="M1" s="112" t="s">
        <v>116</v>
      </c>
      <c r="N1" s="116" t="s">
        <v>117</v>
      </c>
      <c r="O1" s="116" t="s">
        <v>118</v>
      </c>
      <c r="P1" s="117" t="s">
        <v>119</v>
      </c>
      <c r="Q1" s="117" t="s">
        <v>120</v>
      </c>
      <c r="R1" s="118" t="s">
        <v>121</v>
      </c>
      <c r="S1" s="118" t="s">
        <v>122</v>
      </c>
      <c r="T1" s="118" t="s">
        <v>123</v>
      </c>
      <c r="U1" s="118" t="s">
        <v>124</v>
      </c>
      <c r="V1" s="118" t="s">
        <v>125</v>
      </c>
      <c r="W1" s="118" t="s">
        <v>126</v>
      </c>
      <c r="X1" s="119" t="s">
        <v>127</v>
      </c>
      <c r="Y1" s="120"/>
      <c r="Z1" s="121"/>
      <c r="AA1" s="121"/>
      <c r="AB1" s="121"/>
    </row>
    <row r="2" spans="1:28" ht="16">
      <c r="A2" s="122" t="s">
        <v>40</v>
      </c>
      <c r="B2" s="123" t="str">
        <f ca="1">IFERROR(__xludf.DUMMYFUNCTION("JOIN("", "", FILTER('Community Breakdown'!$A$4:$A$100, 'Community Breakdown'!$C$4:$C$100 = A2))
"),"Juneau")</f>
        <v>Juneau</v>
      </c>
      <c r="C2" s="23"/>
      <c r="D2" s="25"/>
      <c r="E2" s="124">
        <f>IF(A2&lt;&gt;"", AVERAGEIF('Community Breakdown'!$C$4:$C$99, A2, 'Community Breakdown'!$I$4:$I$99), "")</f>
        <v>0.1203</v>
      </c>
      <c r="F2" s="124">
        <f>IF(A2&lt;&gt;"", AVERAGEIF('Community Breakdown'!$C$4:$C$99, A2, 'Community Breakdown'!$J$4:$J$99), "")</f>
        <v>4.55</v>
      </c>
      <c r="G2" s="125">
        <f>IF(A2&lt;&gt;"", SUMIF('Community Breakdown'!$C$4:$C$99, A2, 'Community Breakdown'!$K$4:$K$99), "")</f>
        <v>31700</v>
      </c>
      <c r="H2" s="31">
        <f t="shared" ref="H2:H9" si="0">G2/93106</f>
        <v>0.34047215002255493</v>
      </c>
      <c r="I2" s="32">
        <f>IF(A2&lt;&gt;"", AVERAGEIF('Community Breakdown'!$C$4:$C$99, A2, 'Community Breakdown'!$M$4:$M$99), "")</f>
        <v>0.2107</v>
      </c>
      <c r="J2" s="126">
        <f>IF(A2&lt;&gt;"", SUMIF('Community Breakdown'!$C$4:$C$99, A2, 'Community Breakdown'!$N$4:$N$99), "")</f>
        <v>14100</v>
      </c>
      <c r="K2" s="125">
        <f>IF(A2&lt;&gt;"", SUMIF('Community Breakdown'!$C$4:$C$99, A2, 'Community Breakdown'!$O$4:$O$99), "")</f>
        <v>13000</v>
      </c>
      <c r="L2" s="125">
        <f>IF(A2&lt;&gt;"", SUMIF('Community Breakdown'!$C$4:$C$99, A2, 'Community Breakdown'!$V$4:$V$99), "")</f>
        <v>8141.5765069551771</v>
      </c>
      <c r="M2" s="127">
        <f t="shared" ref="M2:M9" si="1">L2/$L$10</f>
        <v>0.33024395774290821</v>
      </c>
      <c r="N2" s="128">
        <f>IF(A2&lt;&gt;"", SUMIF('Community Breakdown'!$C$4:$C$99, A2, 'Community Breakdown'!$AI$4:$AI$99)/K2, "")</f>
        <v>551.06638423499885</v>
      </c>
      <c r="O2" s="128">
        <f>IF(A2&lt;&gt;"", SUMIF('Community Breakdown'!$C$4:$C$99, A2, 'Community Breakdown'!$AJ$4:$AJ$99)/K2, "")</f>
        <v>5.5427402149004648</v>
      </c>
      <c r="P2" s="129">
        <v>0.3</v>
      </c>
      <c r="Q2" s="130">
        <v>2443</v>
      </c>
      <c r="R2" s="131">
        <f t="shared" ref="R2:R9" si="2">ROUND(Q2*$B$18,0)</f>
        <v>244</v>
      </c>
      <c r="S2" s="131">
        <f t="shared" ref="S2:S9" si="3">ROUND($Q2*$B$19,0)</f>
        <v>733</v>
      </c>
      <c r="T2" s="131">
        <f t="shared" ref="T2:T5" si="4">ROUND($Q2*$B$20,0)</f>
        <v>1466</v>
      </c>
      <c r="U2" s="131">
        <f t="shared" ref="U2:U10" si="5">SUM(R2:T2)</f>
        <v>2443</v>
      </c>
      <c r="V2" s="132">
        <f t="shared" ref="V2:V9" si="6">($B$14*$B$15*R2)+($B$14*$B$16*S2)+($B$14*$B$17*T2)</f>
        <v>12336000</v>
      </c>
      <c r="W2" s="133">
        <f t="shared" ref="W2:W9" si="7">V2/$B$21</f>
        <v>0.39998054569330288</v>
      </c>
      <c r="X2" s="134">
        <f t="shared" ref="X2:X9" si="8">O2*U2*20</f>
        <v>270818.28690003668</v>
      </c>
      <c r="Z2" s="43"/>
      <c r="AA2" s="43"/>
      <c r="AB2" s="43"/>
    </row>
    <row r="3" spans="1:28" ht="80">
      <c r="A3" s="135" t="s">
        <v>51</v>
      </c>
      <c r="B3" s="136" t="str">
        <f ca="1">IFERROR(__xludf.DUMMYFUNCTION("JOIN("", "", FILTER('Community Breakdown'!$A$4:$A$100, 'Community Breakdown'!$C$4:$C$100 = A3))
"),"Ketchikan, Saxman, Coffman Cove, Craig, Hollis, Hydaburg, Kasaan, Klawock, Naukati, Thorne Bay, Edna Bay, Hyder, Metlakatla, Kake, Port Alexander, Point Baker, Port Protection, Whale Pass")</f>
        <v>Ketchikan, Saxman, Coffman Cove, Craig, Hollis, Hydaburg, Kasaan, Klawock, Naukati, Thorne Bay, Edna Bay, Hyder, Metlakatla, Kake, Port Alexander, Point Baker, Port Protection, Whale Pass</v>
      </c>
      <c r="C3" s="41"/>
      <c r="E3" s="137">
        <f>IF(A3&lt;&gt;"", AVERAGEIF('Community Breakdown'!$C$4:$C$99, A3, 'Community Breakdown'!$I$4:$I$99), "")</f>
        <v>0.26239166666666663</v>
      </c>
      <c r="F3" s="137">
        <f>IF(A3&lt;&gt;"", AVERAGEIF('Community Breakdown'!$C$4:$C$99, A3, 'Community Breakdown'!$J$4:$J$99), "")</f>
        <v>5.2552722222222217</v>
      </c>
      <c r="G3" s="54">
        <f>IF(A3&lt;&gt;"", SUMIF('Community Breakdown'!$C$4:$C$99, A3, 'Community Breakdown'!$K$4:$K$99), "")</f>
        <v>13612</v>
      </c>
      <c r="H3" s="46">
        <f t="shared" si="0"/>
        <v>0.14619895602861255</v>
      </c>
      <c r="I3" s="27">
        <f>IF(A3&lt;&gt;"", AVERAGEIF('Community Breakdown'!$C$4:$C$99, A3, 'Community Breakdown'!$M$4:$M$99), "")</f>
        <v>0.51398888888888872</v>
      </c>
      <c r="J3" s="138">
        <f>IF(A3&lt;&gt;"", SUMIF('Community Breakdown'!$C$4:$C$99, A3, 'Community Breakdown'!$N$4:$N$99), "")</f>
        <v>6957</v>
      </c>
      <c r="K3" s="54">
        <f>IF(A3&lt;&gt;"", SUMIF('Community Breakdown'!$C$4:$C$99, A3, 'Community Breakdown'!$O$4:$O$99), "")</f>
        <v>5541</v>
      </c>
      <c r="L3" s="54">
        <f>IF(A3&lt;&gt;"", SUMIF('Community Breakdown'!$C$4:$C$99, A3, 'Community Breakdown'!$V$4:$V$99), "")</f>
        <v>2806.5248612032983</v>
      </c>
      <c r="M3" s="139">
        <f t="shared" si="1"/>
        <v>0.11384009925790974</v>
      </c>
      <c r="N3" s="140">
        <f>IF(A3&lt;&gt;"", SUMIF('Community Breakdown'!$C$4:$C$99, A3, 'Community Breakdown'!$AI$4:$AI$99)/K3, "")</f>
        <v>448.3988222060932</v>
      </c>
      <c r="O3" s="140">
        <f>IF(A3&lt;&gt;"", SUMIF('Community Breakdown'!$C$4:$C$99, A3, 'Community Breakdown'!$AJ$4:$AJ$99)/K3, "")</f>
        <v>4.0979961459002334</v>
      </c>
      <c r="P3" s="141">
        <v>0.25</v>
      </c>
      <c r="Q3" s="142">
        <v>702</v>
      </c>
      <c r="R3" s="143">
        <f t="shared" si="2"/>
        <v>70</v>
      </c>
      <c r="S3" s="143">
        <f t="shared" si="3"/>
        <v>211</v>
      </c>
      <c r="T3" s="143">
        <f t="shared" si="4"/>
        <v>421</v>
      </c>
      <c r="U3" s="143">
        <f t="shared" si="5"/>
        <v>702</v>
      </c>
      <c r="V3" s="144">
        <f t="shared" si="6"/>
        <v>3545000</v>
      </c>
      <c r="W3" s="145">
        <f t="shared" si="7"/>
        <v>0.11494252873563218</v>
      </c>
      <c r="X3" s="146">
        <f t="shared" si="8"/>
        <v>57535.865888439279</v>
      </c>
    </row>
    <row r="4" spans="1:28" ht="14.25" customHeight="1">
      <c r="A4" s="135" t="s">
        <v>55</v>
      </c>
      <c r="B4" s="136" t="str">
        <f ca="1">IFERROR(__xludf.DUMMYFUNCTION("JOIN("", "", FILTER('Community Breakdown'!$A$4:$A$100, 'Community Breakdown'!$C$4:$C$100 = A4))
"),"Sitka, Gustavus, Pelican, Angoon, Hoonah, Klukwan, Yakutat, Tenakee Springs")</f>
        <v>Sitka, Gustavus, Pelican, Angoon, Hoonah, Klukwan, Yakutat, Tenakee Springs</v>
      </c>
      <c r="C4" s="41"/>
      <c r="E4" s="137">
        <f>IF(A4&lt;&gt;"", AVERAGEIF('Community Breakdown'!$C$4:$C$99, A4, 'Community Breakdown'!$I$4:$I$99), "")</f>
        <v>0.40958571428571428</v>
      </c>
      <c r="F4" s="137">
        <f>IF(A4&lt;&gt;"", AVERAGEIF('Community Breakdown'!$C$4:$C$99, A4, 'Community Breakdown'!$J$4:$J$99), "")</f>
        <v>5.5587499999999999</v>
      </c>
      <c r="G4" s="54">
        <f>IF(A4&lt;&gt;"", SUMIF('Community Breakdown'!$C$4:$C$99, A4, 'Community Breakdown'!$K$4:$K$99), "")</f>
        <v>11126</v>
      </c>
      <c r="H4" s="46">
        <f t="shared" si="0"/>
        <v>0.11949820634545572</v>
      </c>
      <c r="I4" s="27">
        <f>IF(A4&lt;&gt;"", AVERAGEIF('Community Breakdown'!$C$4:$C$99, A4, 'Community Breakdown'!$M$4:$M$99), "")</f>
        <v>0.44610000000000005</v>
      </c>
      <c r="J4" s="138">
        <f>IF(A4&lt;&gt;"", SUMIF('Community Breakdown'!$C$4:$C$99, A4, 'Community Breakdown'!$N$4:$N$99), "")</f>
        <v>5967</v>
      </c>
      <c r="K4" s="54">
        <f>IF(A4&lt;&gt;"", SUMIF('Community Breakdown'!$C$4:$C$99, A4, 'Community Breakdown'!$O$4:$O$99), "")</f>
        <v>4534</v>
      </c>
      <c r="L4" s="54">
        <f>IF(A4&lt;&gt;"", SUMIF('Community Breakdown'!$C$4:$C$99, A4, 'Community Breakdown'!$V$4:$V$99), "")</f>
        <v>2513.8400802956858</v>
      </c>
      <c r="M4" s="139">
        <f t="shared" si="1"/>
        <v>0.10196802751167318</v>
      </c>
      <c r="N4" s="140">
        <f>IF(A4&lt;&gt;"", SUMIF('Community Breakdown'!$C$4:$C$99, A4, 'Community Breakdown'!$AI$4:$AI$99)/K4, "")</f>
        <v>464.67916232610031</v>
      </c>
      <c r="O4" s="140">
        <f>IF(A4&lt;&gt;"", SUMIF('Community Breakdown'!$C$4:$C$99, A4, 'Community Breakdown'!$AJ$4:$AJ$99)/K4, "")</f>
        <v>4.0648404569149337</v>
      </c>
      <c r="P4" s="141">
        <v>0.25</v>
      </c>
      <c r="Q4" s="142">
        <v>629</v>
      </c>
      <c r="R4" s="143">
        <f t="shared" si="2"/>
        <v>63</v>
      </c>
      <c r="S4" s="143">
        <f t="shared" si="3"/>
        <v>189</v>
      </c>
      <c r="T4" s="143">
        <f t="shared" si="4"/>
        <v>377</v>
      </c>
      <c r="U4" s="143">
        <f t="shared" si="5"/>
        <v>629</v>
      </c>
      <c r="V4" s="144">
        <f t="shared" si="6"/>
        <v>3177500</v>
      </c>
      <c r="W4" s="145">
        <f t="shared" si="7"/>
        <v>0.10302676588363083</v>
      </c>
      <c r="X4" s="146">
        <f t="shared" si="8"/>
        <v>51135.692947989868</v>
      </c>
    </row>
    <row r="5" spans="1:28" ht="14.25" customHeight="1">
      <c r="A5" s="135" t="s">
        <v>45</v>
      </c>
      <c r="B5" s="136" t="str">
        <f ca="1">IFERROR(__xludf.DUMMYFUNCTION("JOIN("", "", FILTER('Community Breakdown'!$A$4:$A$100, 'Community Breakdown'!$C$4:$C$100 = A5))
"),"Petersburg, Kupreanof, Wrangell")</f>
        <v>Petersburg, Kupreanof, Wrangell</v>
      </c>
      <c r="C5" s="41"/>
      <c r="E5" s="137">
        <f>IF(A5&lt;&gt;"", AVERAGEIF('Community Breakdown'!$C$4:$C$99, A5, 'Community Breakdown'!$I$4:$I$99), "")</f>
        <v>0.13693333333333332</v>
      </c>
      <c r="F5" s="137">
        <f>IF(A5&lt;&gt;"", AVERAGEIF('Community Breakdown'!$C$4:$C$99, A5, 'Community Breakdown'!$J$4:$J$99), "")</f>
        <v>4.6433333333333335</v>
      </c>
      <c r="G5" s="54">
        <f>IF(A5&lt;&gt;"", SUMIF('Community Breakdown'!$C$4:$C$99, A5, 'Community Breakdown'!$K$4:$K$99), "")</f>
        <v>4879</v>
      </c>
      <c r="H5" s="46">
        <f t="shared" si="0"/>
        <v>5.2402637853629197E-2</v>
      </c>
      <c r="I5" s="27">
        <f>IF(A5&lt;&gt;"", AVERAGEIF('Community Breakdown'!$C$4:$C$99, A5, 'Community Breakdown'!$M$4:$M$99), "")</f>
        <v>0.19626666666666667</v>
      </c>
      <c r="J5" s="138">
        <f>IF(A5&lt;&gt;"", SUMIF('Community Breakdown'!$C$4:$C$99, A5, 'Community Breakdown'!$N$4:$N$99), "")</f>
        <v>2853</v>
      </c>
      <c r="K5" s="54">
        <f>IF(A5&lt;&gt;"", SUMIF('Community Breakdown'!$C$4:$C$99, A5, 'Community Breakdown'!$O$4:$O$99), "")</f>
        <v>2163</v>
      </c>
      <c r="L5" s="54">
        <f>IF(A5&lt;&gt;"", SUMIF('Community Breakdown'!$C$4:$C$99, A5, 'Community Breakdown'!$V$4:$V$99), "")</f>
        <v>787.22636546180024</v>
      </c>
      <c r="M5" s="139">
        <f t="shared" si="1"/>
        <v>3.1931991346832805E-2</v>
      </c>
      <c r="N5" s="140">
        <f>IF(A5&lt;&gt;"", SUMIF('Community Breakdown'!$C$4:$C$99, A5, 'Community Breakdown'!$AI$4:$AI$99)/K5, "")</f>
        <v>534.51949244369644</v>
      </c>
      <c r="O5" s="140">
        <f>IF(A5&lt;&gt;"", SUMIF('Community Breakdown'!$C$4:$C$99, A5, 'Community Breakdown'!$AJ$4:$AJ$99)/K5, "")</f>
        <v>5.109325659296915</v>
      </c>
      <c r="P5" s="141">
        <v>0.3</v>
      </c>
      <c r="Q5" s="142">
        <v>237</v>
      </c>
      <c r="R5" s="143">
        <f t="shared" si="2"/>
        <v>24</v>
      </c>
      <c r="S5" s="143">
        <f t="shared" si="3"/>
        <v>71</v>
      </c>
      <c r="T5" s="143">
        <f t="shared" si="4"/>
        <v>142</v>
      </c>
      <c r="U5" s="143">
        <f t="shared" si="5"/>
        <v>237</v>
      </c>
      <c r="V5" s="144">
        <f t="shared" si="6"/>
        <v>1198000</v>
      </c>
      <c r="W5" s="145">
        <f t="shared" si="7"/>
        <v>3.8843765705299675E-2</v>
      </c>
      <c r="X5" s="146">
        <f t="shared" si="8"/>
        <v>24218.203625067377</v>
      </c>
    </row>
    <row r="6" spans="1:28" ht="14.25" customHeight="1">
      <c r="A6" s="135" t="s">
        <v>58</v>
      </c>
      <c r="B6" s="136" t="str">
        <f ca="1">IFERROR(__xludf.DUMMYFUNCTION("JOIN("", "", FILTER('Community Breakdown'!$A$4:$A$100, 'Community Breakdown'!$C$4:$C$100 = A6))
"),"Haines, Skagway")</f>
        <v>Haines, Skagway</v>
      </c>
      <c r="C6" s="41"/>
      <c r="E6" s="137">
        <f>IF(A6&lt;&gt;"", AVERAGEIF('Community Breakdown'!$C$4:$C$99, A6, 'Community Breakdown'!$I$4:$I$99), "")</f>
        <v>0.26105</v>
      </c>
      <c r="F6" s="137">
        <f>IF(A6&lt;&gt;"", AVERAGEIF('Community Breakdown'!$C$4:$C$99, A6, 'Community Breakdown'!$J$4:$J$99), "")</f>
        <v>4.71</v>
      </c>
      <c r="G6" s="54">
        <f>IF(A6&lt;&gt;"", SUMIF('Community Breakdown'!$C$4:$C$99, A6, 'Community Breakdown'!$K$4:$K$99), "")</f>
        <v>2111</v>
      </c>
      <c r="H6" s="46">
        <f t="shared" si="0"/>
        <v>2.2673082293300111E-2</v>
      </c>
      <c r="I6" s="27">
        <f>IF(A6&lt;&gt;"", AVERAGEIF('Community Breakdown'!$C$4:$C$99, A6, 'Community Breakdown'!$M$4:$M$99), "")</f>
        <v>0.1187</v>
      </c>
      <c r="J6" s="138">
        <f>IF(A6&lt;&gt;"", SUMIF('Community Breakdown'!$C$4:$C$99, A6, 'Community Breakdown'!$N$4:$N$99), "")</f>
        <v>1364</v>
      </c>
      <c r="K6" s="54">
        <f>IF(A6&lt;&gt;"", SUMIF('Community Breakdown'!$C$4:$C$99, A6, 'Community Breakdown'!$O$4:$O$99), "")</f>
        <v>961</v>
      </c>
      <c r="L6" s="54">
        <f>IF(A6&lt;&gt;"", SUMIF('Community Breakdown'!$C$4:$C$99, A6, 'Community Breakdown'!$V$4:$V$99), "")</f>
        <v>512.71578294791266</v>
      </c>
      <c r="M6" s="139">
        <f t="shared" si="1"/>
        <v>2.079711333711904E-2</v>
      </c>
      <c r="N6" s="140">
        <f>IF(A6&lt;&gt;"", SUMIF('Community Breakdown'!$C$4:$C$99, A6, 'Community Breakdown'!$AI$4:$AI$99)/K6, "")</f>
        <v>500.78262575985133</v>
      </c>
      <c r="O6" s="140">
        <f>IF(A6&lt;&gt;"", SUMIF('Community Breakdown'!$C$4:$C$99, A6, 'Community Breakdown'!$AJ$4:$AJ$99)/K6, "")</f>
        <v>4.6851115947644928</v>
      </c>
      <c r="P6" s="141">
        <v>0.3</v>
      </c>
      <c r="Q6" s="142">
        <v>154</v>
      </c>
      <c r="R6" s="143">
        <f t="shared" si="2"/>
        <v>15</v>
      </c>
      <c r="S6" s="143">
        <f t="shared" si="3"/>
        <v>46</v>
      </c>
      <c r="T6" s="143">
        <v>93</v>
      </c>
      <c r="U6" s="143">
        <f t="shared" si="5"/>
        <v>154</v>
      </c>
      <c r="V6" s="144">
        <f t="shared" si="6"/>
        <v>775500</v>
      </c>
      <c r="W6" s="145">
        <f t="shared" si="7"/>
        <v>2.5144691406060016E-2</v>
      </c>
      <c r="X6" s="146">
        <f t="shared" si="8"/>
        <v>14430.14371187464</v>
      </c>
    </row>
    <row r="7" spans="1:28" ht="14.25" customHeight="1">
      <c r="A7" s="135" t="s">
        <v>63</v>
      </c>
      <c r="B7" s="136" t="str">
        <f ca="1">IFERROR(__xludf.DUMMYFUNCTION("JOIN("", "", FILTER('Community Breakdown'!$A$4:$A$100, 'Community Breakdown'!$C$4:$C$100 = A7))
"),"Valdez, Cordova, Whittier, Chenega, Tatitlek")</f>
        <v>Valdez, Cordova, Whittier, Chenega, Tatitlek</v>
      </c>
      <c r="C7" s="41"/>
      <c r="E7" s="137">
        <f>IF(A7&lt;&gt;"", AVERAGEIF('Community Breakdown'!$C$4:$C$99, A7, 'Community Breakdown'!$I$4:$I$99), "")</f>
        <v>0.36577499999999996</v>
      </c>
      <c r="F7" s="137">
        <f>IF(A7&lt;&gt;"", AVERAGEIF('Community Breakdown'!$C$4:$C$99, A7, 'Community Breakdown'!$J$4:$J$99), "")</f>
        <v>5.625</v>
      </c>
      <c r="G7" s="54">
        <f>IF(A7&lt;&gt;"", SUMIF('Community Breakdown'!$C$4:$C$99, A7, 'Community Breakdown'!$K$4:$K$99), "")</f>
        <v>6743</v>
      </c>
      <c r="H7" s="46">
        <f t="shared" si="0"/>
        <v>7.2422829892810348E-2</v>
      </c>
      <c r="I7" s="27">
        <f>IF(A7&lt;&gt;"", AVERAGEIF('Community Breakdown'!$C$4:$C$99, A7, 'Community Breakdown'!$M$4:$M$99), "")</f>
        <v>0.155</v>
      </c>
      <c r="J7" s="138">
        <f>IF(A7&lt;&gt;"", SUMIF('Community Breakdown'!$C$4:$C$99, A7, 'Community Breakdown'!$N$4:$N$99), "")</f>
        <v>3497</v>
      </c>
      <c r="K7" s="54">
        <f>IF(A7&lt;&gt;"", SUMIF('Community Breakdown'!$C$4:$C$99, A7, 'Community Breakdown'!$O$4:$O$99), "")</f>
        <v>2737</v>
      </c>
      <c r="L7" s="54">
        <f>IF(A7&lt;&gt;"", SUMIF('Community Breakdown'!$C$4:$C$99, A7, 'Community Breakdown'!$V$4:$V$99), "")</f>
        <v>2385.5487804878048</v>
      </c>
      <c r="M7" s="139">
        <f t="shared" si="1"/>
        <v>9.6764191797994989E-2</v>
      </c>
      <c r="N7" s="140">
        <f>IF(A7&lt;&gt;"", SUMIF('Community Breakdown'!$C$4:$C$99, A7, 'Community Breakdown'!$AI$4:$AI$99)/K7, "")</f>
        <v>611.46541836641234</v>
      </c>
      <c r="O7" s="140">
        <f>IF(A7&lt;&gt;"", SUMIF('Community Breakdown'!$C$4:$C$99, A7, 'Community Breakdown'!$AJ$4:$AJ$99)/K7, "")</f>
        <v>4.1600634137267418</v>
      </c>
      <c r="P7" s="141">
        <v>0.25</v>
      </c>
      <c r="Q7" s="142">
        <v>597</v>
      </c>
      <c r="R7" s="143">
        <f t="shared" si="2"/>
        <v>60</v>
      </c>
      <c r="S7" s="143">
        <f t="shared" si="3"/>
        <v>179</v>
      </c>
      <c r="T7" s="143">
        <f t="shared" ref="T7:T9" si="9">ROUND($Q7*$B$20,0)</f>
        <v>358</v>
      </c>
      <c r="U7" s="143">
        <f t="shared" si="5"/>
        <v>597</v>
      </c>
      <c r="V7" s="144">
        <f t="shared" si="6"/>
        <v>3016000</v>
      </c>
      <c r="W7" s="145">
        <f t="shared" si="7"/>
        <v>9.7790314997649272E-2</v>
      </c>
      <c r="X7" s="146">
        <f t="shared" si="8"/>
        <v>49671.157159897295</v>
      </c>
    </row>
    <row r="8" spans="1:28" ht="14.25" customHeight="1">
      <c r="A8" s="135" t="s">
        <v>67</v>
      </c>
      <c r="B8" s="136" t="str">
        <f ca="1">IFERROR(__xludf.DUMMYFUNCTION("JOIN("", "", FILTER('Community Breakdown'!$A$4:$A$100, 'Community Breakdown'!$C$4:$C$100 = A8))
"),"Seward, Homer, Port Graham, Seldovia, Nanwalek")</f>
        <v>Seward, Homer, Port Graham, Seldovia, Nanwalek</v>
      </c>
      <c r="C8" s="41"/>
      <c r="E8" s="137">
        <f>IF(A8&lt;&gt;"", AVERAGEIF('Community Breakdown'!$C$4:$C$99, A8, 'Community Breakdown'!$I$4:$I$99), "")</f>
        <v>0.24775</v>
      </c>
      <c r="F8" s="137">
        <f>IF(A8&lt;&gt;"", AVERAGEIF('Community Breakdown'!$C$4:$C$99, A8, 'Community Breakdown'!$J$4:$J$99), "")</f>
        <v>5.67</v>
      </c>
      <c r="G8" s="54">
        <f>IF(A8&lt;&gt;"", SUMIF('Community Breakdown'!$C$4:$C$99, A8, 'Community Breakdown'!$K$4:$K$99), "")</f>
        <v>9286</v>
      </c>
      <c r="H8" s="46">
        <f t="shared" si="0"/>
        <v>9.9735785019225393E-2</v>
      </c>
      <c r="I8" s="27">
        <f>IF(A8&lt;&gt;"", AVERAGEIF('Community Breakdown'!$C$4:$C$99, A8, 'Community Breakdown'!$M$4:$M$99), "")</f>
        <v>0.2467</v>
      </c>
      <c r="J8" s="138">
        <f>IF(A8&lt;&gt;"", SUMIF('Community Breakdown'!$C$4:$C$99, A8, 'Community Breakdown'!$N$4:$N$99), "")</f>
        <v>9490</v>
      </c>
      <c r="K8" s="54">
        <f>IF(A8&lt;&gt;"", SUMIF('Community Breakdown'!$C$4:$C$99, A8, 'Community Breakdown'!$O$4:$O$99), "")</f>
        <v>7653</v>
      </c>
      <c r="L8" s="54">
        <f>IF(A8&lt;&gt;"", SUMIF('Community Breakdown'!$C$4:$C$99, A8, 'Community Breakdown'!$V$4:$V$99), "")</f>
        <v>6051.4255016127008</v>
      </c>
      <c r="M8" s="139">
        <f t="shared" si="1"/>
        <v>0.24546188394000978</v>
      </c>
      <c r="N8" s="140">
        <f>IF(A8&lt;&gt;"", SUMIF('Community Breakdown'!$C$4:$C$99, A8, 'Community Breakdown'!$AI$4:$AI$99)/K8, "")</f>
        <v>637.5073635159896</v>
      </c>
      <c r="O8" s="140">
        <f>IF(A8&lt;&gt;"", SUMIF('Community Breakdown'!$C$4:$C$99, A8, 'Community Breakdown'!$AJ$4:$AJ$99)/K8, "")</f>
        <v>3.123621294371338</v>
      </c>
      <c r="P8" s="141">
        <v>0.15</v>
      </c>
      <c r="Q8" s="142">
        <v>908</v>
      </c>
      <c r="R8" s="143">
        <f t="shared" si="2"/>
        <v>91</v>
      </c>
      <c r="S8" s="143">
        <f t="shared" si="3"/>
        <v>272</v>
      </c>
      <c r="T8" s="143">
        <f t="shared" si="9"/>
        <v>545</v>
      </c>
      <c r="U8" s="143">
        <f t="shared" si="5"/>
        <v>908</v>
      </c>
      <c r="V8" s="144">
        <f t="shared" si="6"/>
        <v>4585500</v>
      </c>
      <c r="W8" s="145">
        <f t="shared" si="7"/>
        <v>0.14867953893293129</v>
      </c>
      <c r="X8" s="146">
        <f t="shared" si="8"/>
        <v>56724.962705783502</v>
      </c>
    </row>
    <row r="9" spans="1:28" ht="14.25" customHeight="1">
      <c r="A9" s="147" t="s">
        <v>38</v>
      </c>
      <c r="B9" s="148" t="str">
        <f ca="1">IFERROR(__xludf.DUMMYFUNCTION("JOIN("", "", FILTER('Community Breakdown'!$A$4:$A$100, 'Community Breakdown'!$C$4:$C$100 = A9))
"),"Kodiak, Port Lions, Larsen Bay, Old Harbor, Ouzinkie, Akhiok")</f>
        <v>Kodiak, Port Lions, Larsen Bay, Old Harbor, Ouzinkie, Akhiok</v>
      </c>
      <c r="C9" s="41"/>
      <c r="E9" s="137">
        <f>IF(A9&lt;&gt;"", AVERAGEIF('Community Breakdown'!$C$4:$C$99, A9, 'Community Breakdown'!$I$4:$I$99), "")</f>
        <v>0.40544000000000002</v>
      </c>
      <c r="F9" s="137">
        <f>IF(A9&lt;&gt;"", AVERAGEIF('Community Breakdown'!$C$4:$C$99, A9, 'Community Breakdown'!$J$4:$J$99), "")</f>
        <v>4.8449999999999998</v>
      </c>
      <c r="G9" s="54">
        <f>IF(A9&lt;&gt;"", SUMIF('Community Breakdown'!$C$4:$C$99, A9, 'Community Breakdown'!$K$4:$K$99), "")</f>
        <v>5999</v>
      </c>
      <c r="H9" s="46">
        <f t="shared" si="0"/>
        <v>6.4431937791334604E-2</v>
      </c>
      <c r="I9" s="27">
        <f>IF(A9&lt;&gt;"", AVERAGEIF('Community Breakdown'!$C$4:$C$99, A9, 'Community Breakdown'!$M$4:$M$99), "")</f>
        <v>0.19209999999999997</v>
      </c>
      <c r="J9" s="138">
        <f>IF(A9&lt;&gt;"", SUMIF('Community Breakdown'!$C$4:$C$99, A9, 'Community Breakdown'!$N$4:$N$99), "")</f>
        <v>2565</v>
      </c>
      <c r="K9" s="54">
        <f>IF(A9&lt;&gt;"", SUMIF('Community Breakdown'!$C$4:$C$99, A9, 'Community Breakdown'!$O$4:$O$99), "")</f>
        <v>1988</v>
      </c>
      <c r="L9" s="54">
        <f>IF(A9&lt;&gt;"", SUMIF('Community Breakdown'!$C$4:$C$99, A9, 'Community Breakdown'!$V$4:$V$99), "")</f>
        <v>1454.3607979184737</v>
      </c>
      <c r="M9" s="139">
        <f t="shared" si="1"/>
        <v>5.8992735065552207E-2</v>
      </c>
      <c r="N9" s="140">
        <f>IF(A9&lt;&gt;"", SUMIF('Community Breakdown'!$C$4:$C$99, A9, 'Community Breakdown'!$AI$4:$AI$99)/K9, "")</f>
        <v>573.378585013313</v>
      </c>
      <c r="O9" s="140">
        <f>IF(A9&lt;&gt;"", SUMIF('Community Breakdown'!$C$4:$C$99, A9, 'Community Breakdown'!$AJ$4:$AJ$99)/K9, "")</f>
        <v>5.439815594419926</v>
      </c>
      <c r="P9" s="149">
        <v>0.3</v>
      </c>
      <c r="Q9" s="150">
        <v>437</v>
      </c>
      <c r="R9" s="151">
        <f t="shared" si="2"/>
        <v>44</v>
      </c>
      <c r="S9" s="151">
        <f t="shared" si="3"/>
        <v>131</v>
      </c>
      <c r="T9" s="151">
        <f t="shared" si="9"/>
        <v>262</v>
      </c>
      <c r="U9" s="143">
        <f t="shared" si="5"/>
        <v>437</v>
      </c>
      <c r="V9" s="152">
        <f t="shared" si="6"/>
        <v>2208000</v>
      </c>
      <c r="W9" s="153">
        <f t="shared" si="7"/>
        <v>7.1591848645493894E-2</v>
      </c>
      <c r="X9" s="154">
        <f t="shared" si="8"/>
        <v>47543.988295230156</v>
      </c>
    </row>
    <row r="10" spans="1:28" ht="14.25" customHeight="1">
      <c r="A10" s="155" t="s">
        <v>128</v>
      </c>
      <c r="B10" s="156"/>
      <c r="C10" s="156"/>
      <c r="D10" s="157"/>
      <c r="E10" s="157"/>
      <c r="F10" s="157"/>
      <c r="G10" s="158">
        <f>SUM(G2:G9)</f>
        <v>85456</v>
      </c>
      <c r="H10" s="159"/>
      <c r="I10" s="159"/>
      <c r="J10" s="156"/>
      <c r="K10" s="158">
        <f t="shared" ref="K10:L10" si="10">SUM(K2:K9)</f>
        <v>38577</v>
      </c>
      <c r="L10" s="158">
        <f t="shared" si="10"/>
        <v>24653.218676882854</v>
      </c>
      <c r="M10" s="160"/>
      <c r="N10" s="161">
        <f>(N2*K2+N3*K3+N4*K4+N5*K5+N6*K6+N7*K7+N8*K8+N9*K9)/K10</f>
        <v>546.56959552219269</v>
      </c>
      <c r="O10" s="162">
        <f>(O2*K2+O3*K3+O4*K4+O5*K5+O6*K6+O7*K7+O8*K8+O9*K9)/K10</f>
        <v>4.5325450513082988</v>
      </c>
      <c r="P10" s="163"/>
      <c r="Q10" s="164">
        <f t="shared" ref="Q10:T10" si="11">SUM(Q2:Q9)</f>
        <v>6107</v>
      </c>
      <c r="R10" s="165">
        <f t="shared" si="11"/>
        <v>611</v>
      </c>
      <c r="S10" s="166">
        <f t="shared" si="11"/>
        <v>1832</v>
      </c>
      <c r="T10" s="166">
        <f t="shared" si="11"/>
        <v>3664</v>
      </c>
      <c r="U10" s="167">
        <f t="shared" si="5"/>
        <v>6107</v>
      </c>
      <c r="V10" s="168">
        <f>SUM(V2:V9)</f>
        <v>30841500</v>
      </c>
      <c r="W10" s="169"/>
      <c r="X10" s="170">
        <f>SUM(X2:X9)</f>
        <v>572078.30123431887</v>
      </c>
    </row>
    <row r="11" spans="1:28" ht="14.25" customHeight="1">
      <c r="H11" s="46"/>
      <c r="I11" s="46"/>
      <c r="Q11" s="171"/>
      <c r="R11" s="171"/>
      <c r="S11" s="171"/>
      <c r="T11" s="171"/>
      <c r="U11" s="171"/>
      <c r="V11" s="171"/>
      <c r="W11" s="171"/>
      <c r="X11" s="171"/>
      <c r="Y11" s="172"/>
      <c r="Z11" s="172"/>
      <c r="AA11" s="172"/>
      <c r="AB11" s="172"/>
    </row>
    <row r="12" spans="1:28" ht="14.25" customHeight="1">
      <c r="H12" s="46"/>
      <c r="I12" s="46"/>
      <c r="P12" s="173" t="s">
        <v>129</v>
      </c>
      <c r="Q12" s="171"/>
      <c r="R12" s="171"/>
      <c r="S12" s="171"/>
      <c r="T12" s="171"/>
      <c r="U12" s="171"/>
      <c r="V12" s="171"/>
      <c r="W12" s="171"/>
      <c r="X12" s="171"/>
      <c r="Y12" s="174"/>
      <c r="Z12" s="174"/>
      <c r="AA12" s="174"/>
      <c r="AB12" s="174"/>
    </row>
    <row r="13" spans="1:28" ht="14.25" customHeight="1">
      <c r="A13" s="175" t="s">
        <v>130</v>
      </c>
      <c r="B13" s="175"/>
      <c r="H13" s="46"/>
      <c r="I13" s="46"/>
      <c r="P13" s="176" t="s">
        <v>40</v>
      </c>
      <c r="Q13" s="177">
        <f t="shared" ref="Q13:X13" si="12">Q2</f>
        <v>2443</v>
      </c>
      <c r="R13" s="177">
        <f t="shared" si="12"/>
        <v>244</v>
      </c>
      <c r="S13" s="177">
        <f t="shared" si="12"/>
        <v>733</v>
      </c>
      <c r="T13" s="177">
        <f t="shared" si="12"/>
        <v>1466</v>
      </c>
      <c r="U13" s="177">
        <f t="shared" si="12"/>
        <v>2443</v>
      </c>
      <c r="V13" s="178">
        <f t="shared" si="12"/>
        <v>12336000</v>
      </c>
      <c r="W13" s="179">
        <f t="shared" si="12"/>
        <v>0.39998054569330288</v>
      </c>
      <c r="X13" s="177">
        <f t="shared" si="12"/>
        <v>270818.28690003668</v>
      </c>
      <c r="Y13" s="180"/>
      <c r="Z13" s="180"/>
      <c r="AA13" s="172"/>
      <c r="AB13" s="172"/>
    </row>
    <row r="14" spans="1:28" ht="14.25" customHeight="1">
      <c r="A14" s="175" t="s">
        <v>131</v>
      </c>
      <c r="B14" s="181">
        <v>8500</v>
      </c>
      <c r="H14" s="46"/>
      <c r="I14" s="46"/>
      <c r="P14" s="176" t="s">
        <v>132</v>
      </c>
      <c r="Q14" s="177">
        <f t="shared" ref="Q14:X14" si="13">SUM(Q3:Q6)</f>
        <v>1722</v>
      </c>
      <c r="R14" s="177">
        <f t="shared" si="13"/>
        <v>172</v>
      </c>
      <c r="S14" s="177">
        <f t="shared" si="13"/>
        <v>517</v>
      </c>
      <c r="T14" s="177">
        <f t="shared" si="13"/>
        <v>1033</v>
      </c>
      <c r="U14" s="177">
        <f t="shared" si="13"/>
        <v>1722</v>
      </c>
      <c r="V14" s="178">
        <f t="shared" si="13"/>
        <v>8696000</v>
      </c>
      <c r="W14" s="179">
        <f t="shared" si="13"/>
        <v>0.28195775173062271</v>
      </c>
      <c r="X14" s="177">
        <f t="shared" si="13"/>
        <v>147319.90617337116</v>
      </c>
      <c r="Y14" s="180"/>
      <c r="Z14" s="180"/>
      <c r="AA14" s="172"/>
      <c r="AB14" s="172"/>
    </row>
    <row r="15" spans="1:28" ht="14.25" customHeight="1">
      <c r="A15" s="182" t="s">
        <v>133</v>
      </c>
      <c r="B15" s="183">
        <v>1</v>
      </c>
      <c r="H15" s="46"/>
      <c r="I15" s="46"/>
      <c r="P15" s="176" t="s">
        <v>134</v>
      </c>
      <c r="Q15" s="177">
        <f t="shared" ref="Q15:X15" si="14">SUM(Q7:Q9)</f>
        <v>1942</v>
      </c>
      <c r="R15" s="177">
        <f t="shared" si="14"/>
        <v>195</v>
      </c>
      <c r="S15" s="177">
        <f t="shared" si="14"/>
        <v>582</v>
      </c>
      <c r="T15" s="177">
        <f t="shared" si="14"/>
        <v>1165</v>
      </c>
      <c r="U15" s="177">
        <f t="shared" si="14"/>
        <v>1942</v>
      </c>
      <c r="V15" s="178">
        <f t="shared" si="14"/>
        <v>9809500</v>
      </c>
      <c r="W15" s="179">
        <f t="shared" si="14"/>
        <v>0.31806170257607447</v>
      </c>
      <c r="X15" s="177">
        <f t="shared" si="14"/>
        <v>153940.10816091095</v>
      </c>
      <c r="Y15" s="180"/>
      <c r="Z15" s="180"/>
      <c r="AA15" s="172"/>
      <c r="AB15" s="172"/>
    </row>
    <row r="16" spans="1:28" ht="14.25" customHeight="1">
      <c r="A16" s="182" t="s">
        <v>135</v>
      </c>
      <c r="B16" s="183">
        <f>6/8.5</f>
        <v>0.70588235294117652</v>
      </c>
      <c r="H16" s="46"/>
      <c r="I16" s="46"/>
      <c r="Y16" s="180"/>
      <c r="Z16" s="180"/>
      <c r="AA16" s="172"/>
      <c r="AB16" s="172"/>
    </row>
    <row r="17" spans="1:9" ht="14.25" customHeight="1">
      <c r="A17" s="184" t="s">
        <v>136</v>
      </c>
      <c r="B17" s="185">
        <f>4/8.5</f>
        <v>0.47058823529411764</v>
      </c>
      <c r="H17" s="46"/>
      <c r="I17" s="46"/>
    </row>
    <row r="18" spans="1:9" ht="14.25" customHeight="1">
      <c r="A18" s="182" t="s">
        <v>137</v>
      </c>
      <c r="B18" s="183">
        <v>0.1</v>
      </c>
      <c r="H18" s="46"/>
      <c r="I18" s="46"/>
    </row>
    <row r="19" spans="1:9" ht="14.25" customHeight="1">
      <c r="A19" s="182" t="s">
        <v>138</v>
      </c>
      <c r="B19" s="183">
        <v>0.3</v>
      </c>
      <c r="H19" s="46"/>
      <c r="I19" s="46"/>
    </row>
    <row r="20" spans="1:9" ht="14.25" customHeight="1">
      <c r="A20" s="184" t="s">
        <v>139</v>
      </c>
      <c r="B20" s="185">
        <v>0.6</v>
      </c>
      <c r="H20" s="46"/>
      <c r="I20" s="46"/>
    </row>
    <row r="21" spans="1:9" ht="14.25" customHeight="1">
      <c r="A21" s="184" t="s">
        <v>140</v>
      </c>
      <c r="B21" s="186">
        <f>SUM(V2:V9)</f>
        <v>30841500</v>
      </c>
      <c r="H21" s="46"/>
      <c r="I21" s="46"/>
    </row>
    <row r="22" spans="1:9" ht="14.25" customHeight="1">
      <c r="H22" s="46"/>
      <c r="I22" s="46"/>
    </row>
    <row r="23" spans="1:9" ht="14.25" customHeight="1">
      <c r="H23" s="46"/>
      <c r="I23" s="46"/>
    </row>
    <row r="24" spans="1:9" ht="14.25" customHeight="1">
      <c r="H24" s="46"/>
      <c r="I24" s="46"/>
    </row>
    <row r="25" spans="1:9" ht="14.25" customHeight="1">
      <c r="H25" s="46"/>
    </row>
    <row r="26" spans="1:9" ht="14.25" customHeight="1">
      <c r="H26" s="46"/>
    </row>
    <row r="27" spans="1:9" ht="14.25" customHeight="1">
      <c r="H27" s="46"/>
    </row>
    <row r="28" spans="1:9" ht="14.25" customHeight="1">
      <c r="H28" s="46"/>
    </row>
    <row r="29" spans="1:9" ht="14.25" customHeight="1">
      <c r="H29" s="46"/>
    </row>
    <row r="30" spans="1:9" ht="14.25" customHeight="1">
      <c r="H30" s="46"/>
    </row>
    <row r="31" spans="1:9" ht="14.25" customHeight="1">
      <c r="E31" s="187"/>
      <c r="H31" s="46"/>
    </row>
    <row r="32" spans="1:9" ht="14.25" customHeight="1">
      <c r="H32" s="46"/>
      <c r="I32" s="46"/>
    </row>
    <row r="33" spans="1:9" ht="14.25" customHeight="1">
      <c r="A33" s="46"/>
      <c r="B33" s="46"/>
      <c r="H33" s="46"/>
      <c r="I33" s="46"/>
    </row>
    <row r="34" spans="1:9" ht="14.25" customHeight="1">
      <c r="A34" s="46"/>
      <c r="B34" s="46"/>
      <c r="H34" s="46"/>
      <c r="I34" s="46"/>
    </row>
    <row r="35" spans="1:9" ht="14.25" customHeight="1">
      <c r="A35" s="46"/>
      <c r="B35" s="46"/>
      <c r="H35" s="46"/>
      <c r="I35" s="46"/>
    </row>
    <row r="36" spans="1:9" ht="14.25" customHeight="1">
      <c r="A36" s="46"/>
      <c r="B36" s="46"/>
      <c r="H36" s="46"/>
      <c r="I36" s="46"/>
    </row>
    <row r="37" spans="1:9" ht="14.25" customHeight="1">
      <c r="A37" s="46"/>
      <c r="B37" s="46"/>
      <c r="D37" s="188"/>
      <c r="H37" s="46"/>
      <c r="I37" s="46"/>
    </row>
    <row r="38" spans="1:9" ht="14.25" customHeight="1">
      <c r="A38" s="46"/>
      <c r="B38" s="46"/>
      <c r="D38" s="189"/>
      <c r="H38" s="46"/>
      <c r="I38" s="46"/>
    </row>
    <row r="39" spans="1:9" ht="14.25" customHeight="1">
      <c r="A39" s="46"/>
      <c r="B39" s="46"/>
      <c r="D39" s="189"/>
      <c r="H39" s="46"/>
      <c r="I39" s="46"/>
    </row>
    <row r="40" spans="1:9" ht="14.25" customHeight="1">
      <c r="A40" s="46"/>
      <c r="B40" s="46"/>
      <c r="D40" s="189"/>
      <c r="H40" s="46"/>
      <c r="I40" s="46"/>
    </row>
    <row r="41" spans="1:9" ht="14.25" customHeight="1">
      <c r="A41" s="46"/>
      <c r="B41" s="46"/>
      <c r="D41" s="189"/>
      <c r="H41" s="46"/>
      <c r="I41" s="46"/>
    </row>
    <row r="42" spans="1:9" ht="14.25" customHeight="1">
      <c r="A42" s="46"/>
      <c r="B42" s="46"/>
      <c r="D42" s="189"/>
      <c r="H42" s="46"/>
      <c r="I42" s="46"/>
    </row>
    <row r="43" spans="1:9" ht="14.25" customHeight="1">
      <c r="A43" s="46"/>
      <c r="B43" s="46"/>
      <c r="H43" s="46"/>
      <c r="I43" s="46"/>
    </row>
    <row r="44" spans="1:9" ht="14.25" customHeight="1">
      <c r="A44" s="46"/>
      <c r="B44" s="46"/>
      <c r="H44" s="46"/>
      <c r="I44" s="46"/>
    </row>
    <row r="45" spans="1:9" ht="14.25" customHeight="1">
      <c r="A45" s="46"/>
      <c r="B45" s="46"/>
      <c r="H45" s="46"/>
      <c r="I45" s="46"/>
    </row>
    <row r="46" spans="1:9" ht="14.25" customHeight="1">
      <c r="H46" s="46"/>
      <c r="I46" s="46"/>
    </row>
    <row r="47" spans="1:9" ht="14.25" customHeight="1">
      <c r="H47" s="46"/>
      <c r="I47" s="46"/>
    </row>
    <row r="48" spans="1:9" ht="14.25" customHeight="1">
      <c r="H48" s="46"/>
      <c r="I48" s="46"/>
    </row>
    <row r="49" spans="8:9" ht="14.25" customHeight="1">
      <c r="H49" s="46"/>
      <c r="I49" s="46"/>
    </row>
    <row r="50" spans="8:9" ht="14.25" customHeight="1">
      <c r="H50" s="46"/>
      <c r="I50" s="46"/>
    </row>
    <row r="51" spans="8:9" ht="14.25" customHeight="1">
      <c r="H51" s="46"/>
      <c r="I51" s="46"/>
    </row>
    <row r="52" spans="8:9" ht="14.25" customHeight="1">
      <c r="H52" s="46"/>
      <c r="I52" s="46"/>
    </row>
    <row r="53" spans="8:9" ht="14.25" customHeight="1">
      <c r="H53" s="46"/>
      <c r="I53" s="46"/>
    </row>
    <row r="54" spans="8:9" ht="14.25" customHeight="1">
      <c r="H54" s="46"/>
      <c r="I54" s="46"/>
    </row>
    <row r="55" spans="8:9" ht="14.25" customHeight="1">
      <c r="H55" s="46"/>
      <c r="I55" s="46"/>
    </row>
    <row r="56" spans="8:9" ht="14.25" customHeight="1">
      <c r="H56" s="46"/>
      <c r="I56" s="46"/>
    </row>
    <row r="57" spans="8:9" ht="14.25" customHeight="1">
      <c r="H57" s="46"/>
      <c r="I57" s="46"/>
    </row>
    <row r="58" spans="8:9" ht="14.25" customHeight="1">
      <c r="H58" s="46"/>
      <c r="I58" s="46"/>
    </row>
    <row r="59" spans="8:9" ht="14.25" customHeight="1">
      <c r="H59" s="46"/>
      <c r="I59" s="46"/>
    </row>
    <row r="60" spans="8:9" ht="14.25" customHeight="1">
      <c r="H60" s="46"/>
      <c r="I60" s="46"/>
    </row>
    <row r="61" spans="8:9" ht="14.25" customHeight="1">
      <c r="H61" s="46"/>
      <c r="I61" s="46"/>
    </row>
    <row r="62" spans="8:9" ht="14.25" customHeight="1">
      <c r="H62" s="63"/>
      <c r="I62" s="46"/>
    </row>
    <row r="63" spans="8:9" ht="14.25" customHeight="1"/>
    <row r="64" spans="8:9"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sheetData>
  <conditionalFormatting sqref="C2:C9">
    <cfRule type="cellIs" dxfId="1" priority="3" operator="greaterThanOrEqual">
      <formula>50</formula>
    </cfRule>
  </conditionalFormatting>
  <conditionalFormatting sqref="H2:H62 I10:I24 I32:I62 A33:B45">
    <cfRule type="colorScale" priority="2">
      <colorScale>
        <cfvo type="percent" val="0"/>
        <cfvo type="percent" val="25"/>
        <cfvo type="percent" val="100"/>
        <color rgb="FFFFFFFF"/>
        <color rgb="FFA4C2F4"/>
        <color rgb="FF6D9EEB"/>
      </colorScale>
    </cfRule>
  </conditionalFormatting>
  <conditionalFormatting sqref="X2:X9 R2:U10">
    <cfRule type="cellIs" dxfId="0" priority="1" operator="lessThan">
      <formula>0</formula>
    </cfRule>
  </conditionalFormatting>
  <hyperlinks>
    <hyperlink ref="J1" r:id="rId1" location="place=geoId%2F0200650&amp;statsVar=Count_Person__Count_HousingUnit__Count_HousingUnit_OccupiedHousingUnit&amp;chart=%7B%22count-none%22%3A%7B%22pc%22%3Afalse%2C%22delta%22%3Afalse%7D%7D" xr:uid="{00000000-0004-0000-0200-000000000000}"/>
    <hyperlink ref="K1" r:id="rId2" location="place=geoId%2F0200650&amp;statsVar=Count_Person__Count_HousingUnit__Count_HousingUnit_OccupiedHousingUnit&amp;chart=%7B%22count-none%22%3A%7B%22pc%22%3Afalse%2C%22delta%22%3Afalse%7D%7D" xr:uid="{00000000-0004-0000-0200-000001000000}"/>
  </hyperlinks>
  <pageMargins left="0.7" right="0.7" top="0.75" bottom="0.75" header="0" footer="0"/>
  <pageSetup scale="44"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3C47D"/>
    <outlinePr summaryBelow="0" summaryRight="0"/>
  </sheetPr>
  <dimension ref="A1:J20"/>
  <sheetViews>
    <sheetView tabSelected="1" workbookViewId="0">
      <selection sqref="A1:G1"/>
    </sheetView>
  </sheetViews>
  <sheetFormatPr baseColWidth="10" defaultColWidth="14.5" defaultRowHeight="15" customHeight="1"/>
  <cols>
    <col min="1" max="1" width="22.5" customWidth="1"/>
    <col min="9" max="9" width="49.83203125" customWidth="1"/>
    <col min="10" max="10" width="37.5" customWidth="1"/>
  </cols>
  <sheetData>
    <row r="1" spans="1:10">
      <c r="A1" s="241" t="s">
        <v>141</v>
      </c>
      <c r="B1" s="237"/>
      <c r="C1" s="237"/>
      <c r="D1" s="237"/>
      <c r="E1" s="237"/>
      <c r="F1" s="237"/>
      <c r="G1" s="238"/>
      <c r="I1" s="241" t="s">
        <v>142</v>
      </c>
      <c r="J1" s="238"/>
    </row>
    <row r="2" spans="1:10">
      <c r="A2" s="190" t="s">
        <v>143</v>
      </c>
      <c r="B2" s="191">
        <v>0.14000000000000001</v>
      </c>
      <c r="C2" s="191">
        <v>0.2</v>
      </c>
      <c r="D2" s="191">
        <v>0.26</v>
      </c>
      <c r="E2" s="191">
        <v>0.22</v>
      </c>
      <c r="F2" s="191">
        <v>0.18</v>
      </c>
      <c r="G2" s="192" t="s">
        <v>144</v>
      </c>
      <c r="I2" s="193" t="s">
        <v>145</v>
      </c>
      <c r="J2" s="194">
        <v>38646543.43</v>
      </c>
    </row>
    <row r="3" spans="1:10">
      <c r="A3" s="195"/>
      <c r="B3" s="196" t="s">
        <v>146</v>
      </c>
      <c r="C3" s="196" t="s">
        <v>147</v>
      </c>
      <c r="D3" s="196" t="s">
        <v>148</v>
      </c>
      <c r="E3" s="196" t="s">
        <v>149</v>
      </c>
      <c r="F3" s="196" t="s">
        <v>150</v>
      </c>
      <c r="G3" s="197"/>
      <c r="I3" s="198" t="s">
        <v>151</v>
      </c>
      <c r="J3" s="199">
        <f>'Subregion Breakdown'!O10</f>
        <v>4.5325450513082988</v>
      </c>
    </row>
    <row r="4" spans="1:10">
      <c r="A4" s="200" t="s">
        <v>152</v>
      </c>
      <c r="B4" s="201">
        <v>342</v>
      </c>
      <c r="C4" s="201">
        <v>489</v>
      </c>
      <c r="D4" s="201">
        <v>635</v>
      </c>
      <c r="E4" s="201">
        <v>537</v>
      </c>
      <c r="F4" s="201">
        <v>440</v>
      </c>
      <c r="G4" s="202">
        <v>2443</v>
      </c>
      <c r="I4" s="198" t="s">
        <v>153</v>
      </c>
      <c r="J4" s="203">
        <v>6107</v>
      </c>
    </row>
    <row r="5" spans="1:10">
      <c r="A5" s="204">
        <v>4000</v>
      </c>
      <c r="B5" s="43">
        <v>205</v>
      </c>
      <c r="C5" s="43">
        <v>294</v>
      </c>
      <c r="D5" s="43">
        <v>381</v>
      </c>
      <c r="E5" s="43">
        <v>322</v>
      </c>
      <c r="F5" s="43">
        <v>264</v>
      </c>
      <c r="G5" s="42">
        <v>1466</v>
      </c>
      <c r="I5" s="198" t="s">
        <v>154</v>
      </c>
      <c r="J5" s="205">
        <f>SUM(B20:F20)</f>
        <v>80253.24267846474</v>
      </c>
    </row>
    <row r="6" spans="1:10">
      <c r="A6" s="204">
        <v>6000</v>
      </c>
      <c r="B6" s="43">
        <v>102</v>
      </c>
      <c r="C6" s="43">
        <v>147</v>
      </c>
      <c r="D6" s="43">
        <v>191</v>
      </c>
      <c r="E6" s="43">
        <v>161</v>
      </c>
      <c r="F6" s="43">
        <v>132</v>
      </c>
      <c r="G6" s="42">
        <v>733</v>
      </c>
      <c r="I6" s="198" t="s">
        <v>155</v>
      </c>
      <c r="J6" s="205">
        <f>20*F20+J5</f>
        <v>633858.29524526035</v>
      </c>
    </row>
    <row r="7" spans="1:10">
      <c r="A7" s="204">
        <v>8500</v>
      </c>
      <c r="B7" s="43">
        <v>34</v>
      </c>
      <c r="C7" s="43">
        <v>48</v>
      </c>
      <c r="D7" s="43">
        <v>64</v>
      </c>
      <c r="E7" s="43">
        <v>54</v>
      </c>
      <c r="F7" s="43">
        <v>44</v>
      </c>
      <c r="G7" s="42">
        <v>244</v>
      </c>
      <c r="I7" s="206" t="s">
        <v>156</v>
      </c>
      <c r="J7" s="207">
        <f>J2/J5</f>
        <v>481.55740678090336</v>
      </c>
    </row>
    <row r="8" spans="1:10">
      <c r="A8" s="195"/>
      <c r="B8" s="196" t="s">
        <v>146</v>
      </c>
      <c r="C8" s="196" t="s">
        <v>147</v>
      </c>
      <c r="D8" s="196" t="s">
        <v>148</v>
      </c>
      <c r="E8" s="196" t="s">
        <v>149</v>
      </c>
      <c r="F8" s="196" t="s">
        <v>150</v>
      </c>
      <c r="G8" s="197"/>
    </row>
    <row r="9" spans="1:10">
      <c r="A9" s="200" t="s">
        <v>132</v>
      </c>
      <c r="B9" s="201">
        <v>241</v>
      </c>
      <c r="C9" s="201">
        <v>344</v>
      </c>
      <c r="D9" s="201">
        <v>448</v>
      </c>
      <c r="E9" s="201">
        <v>379</v>
      </c>
      <c r="F9" s="201">
        <v>310</v>
      </c>
      <c r="G9" s="202">
        <v>1722</v>
      </c>
    </row>
    <row r="10" spans="1:10">
      <c r="A10" s="204">
        <v>4000</v>
      </c>
      <c r="B10" s="43">
        <v>145</v>
      </c>
      <c r="C10" s="43">
        <v>206</v>
      </c>
      <c r="D10" s="43">
        <v>269</v>
      </c>
      <c r="E10" s="43">
        <v>227</v>
      </c>
      <c r="F10" s="43">
        <v>186</v>
      </c>
      <c r="G10" s="42">
        <v>1033</v>
      </c>
    </row>
    <row r="11" spans="1:10">
      <c r="A11" s="204">
        <v>6000</v>
      </c>
      <c r="B11" s="43">
        <v>73</v>
      </c>
      <c r="C11" s="43">
        <v>103</v>
      </c>
      <c r="D11" s="43">
        <v>134</v>
      </c>
      <c r="E11" s="43">
        <v>114</v>
      </c>
      <c r="F11" s="43">
        <v>93</v>
      </c>
      <c r="G11" s="42">
        <v>517</v>
      </c>
    </row>
    <row r="12" spans="1:10">
      <c r="A12" s="204">
        <v>8500</v>
      </c>
      <c r="B12" s="43">
        <v>24</v>
      </c>
      <c r="C12" s="43">
        <v>34</v>
      </c>
      <c r="D12" s="43">
        <v>45</v>
      </c>
      <c r="E12" s="43">
        <v>38</v>
      </c>
      <c r="F12" s="43">
        <v>31</v>
      </c>
      <c r="G12" s="42">
        <v>172</v>
      </c>
    </row>
    <row r="13" spans="1:10">
      <c r="A13" s="195"/>
      <c r="B13" s="196" t="s">
        <v>146</v>
      </c>
      <c r="C13" s="196" t="s">
        <v>147</v>
      </c>
      <c r="D13" s="196" t="s">
        <v>148</v>
      </c>
      <c r="E13" s="196" t="s">
        <v>149</v>
      </c>
      <c r="F13" s="196" t="s">
        <v>150</v>
      </c>
      <c r="G13" s="197"/>
    </row>
    <row r="14" spans="1:10">
      <c r="A14" s="200" t="s">
        <v>134</v>
      </c>
      <c r="B14" s="201">
        <v>272</v>
      </c>
      <c r="C14" s="201">
        <v>388</v>
      </c>
      <c r="D14" s="201">
        <v>505</v>
      </c>
      <c r="E14" s="201">
        <v>427</v>
      </c>
      <c r="F14" s="201">
        <v>350</v>
      </c>
      <c r="G14" s="202">
        <v>1942</v>
      </c>
    </row>
    <row r="15" spans="1:10">
      <c r="A15" s="204">
        <v>4000</v>
      </c>
      <c r="B15" s="43">
        <v>163</v>
      </c>
      <c r="C15" s="43">
        <v>233</v>
      </c>
      <c r="D15" s="43">
        <v>303</v>
      </c>
      <c r="E15" s="43">
        <v>256</v>
      </c>
      <c r="F15" s="43">
        <v>210</v>
      </c>
      <c r="G15" s="42">
        <v>1165</v>
      </c>
    </row>
    <row r="16" spans="1:10">
      <c r="A16" s="204">
        <v>6000</v>
      </c>
      <c r="B16" s="43">
        <v>81</v>
      </c>
      <c r="C16" s="43">
        <v>116</v>
      </c>
      <c r="D16" s="43">
        <v>152</v>
      </c>
      <c r="E16" s="43">
        <v>128</v>
      </c>
      <c r="F16" s="43">
        <v>105</v>
      </c>
      <c r="G16" s="42">
        <v>582</v>
      </c>
    </row>
    <row r="17" spans="1:7">
      <c r="A17" s="204">
        <v>8500</v>
      </c>
      <c r="B17" s="43">
        <v>27</v>
      </c>
      <c r="C17" s="43">
        <v>39</v>
      </c>
      <c r="D17" s="43">
        <v>51</v>
      </c>
      <c r="E17" s="43">
        <v>43</v>
      </c>
      <c r="F17" s="43">
        <v>35</v>
      </c>
      <c r="G17" s="42">
        <v>195</v>
      </c>
    </row>
    <row r="18" spans="1:7">
      <c r="A18" s="195"/>
      <c r="B18" s="196" t="s">
        <v>146</v>
      </c>
      <c r="C18" s="196" t="s">
        <v>147</v>
      </c>
      <c r="D18" s="196" t="s">
        <v>148</v>
      </c>
      <c r="E18" s="196" t="s">
        <v>149</v>
      </c>
      <c r="F18" s="196" t="s">
        <v>150</v>
      </c>
      <c r="G18" s="197"/>
    </row>
    <row r="19" spans="1:7">
      <c r="A19" s="200" t="s">
        <v>157</v>
      </c>
      <c r="B19" s="201">
        <v>854</v>
      </c>
      <c r="C19" s="201">
        <v>2074</v>
      </c>
      <c r="D19" s="201">
        <v>3664</v>
      </c>
      <c r="E19" s="201">
        <v>5007</v>
      </c>
      <c r="F19" s="201">
        <v>6107</v>
      </c>
      <c r="G19" s="202">
        <f>F19</f>
        <v>6107</v>
      </c>
    </row>
    <row r="20" spans="1:7">
      <c r="A20" s="208" t="s">
        <v>158</v>
      </c>
      <c r="B20" s="209">
        <f t="shared" ref="B20:F20" si="0">B19*$J$3</f>
        <v>3870.7934738172871</v>
      </c>
      <c r="C20" s="209">
        <f t="shared" si="0"/>
        <v>9400.4984364134125</v>
      </c>
      <c r="D20" s="209">
        <f t="shared" si="0"/>
        <v>16607.245067993608</v>
      </c>
      <c r="E20" s="209">
        <f t="shared" si="0"/>
        <v>22694.453071900651</v>
      </c>
      <c r="F20" s="209">
        <f t="shared" si="0"/>
        <v>27680.252628339782</v>
      </c>
      <c r="G20" s="210">
        <f>SUM(B20:F20)</f>
        <v>80253.24267846474</v>
      </c>
    </row>
  </sheetData>
  <mergeCells count="2">
    <mergeCell ref="A1:G1"/>
    <mergeCell ref="I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B987"/>
  <sheetViews>
    <sheetView workbookViewId="0"/>
  </sheetViews>
  <sheetFormatPr baseColWidth="10" defaultColWidth="14.5" defaultRowHeight="15" customHeight="1"/>
  <cols>
    <col min="1" max="1" width="33.5" customWidth="1"/>
    <col min="2" max="2" width="95" customWidth="1"/>
  </cols>
  <sheetData>
    <row r="1" spans="1:2">
      <c r="A1" s="242" t="s">
        <v>159</v>
      </c>
      <c r="B1" s="233"/>
    </row>
    <row r="2" spans="1:2">
      <c r="A2" s="2" t="s">
        <v>7</v>
      </c>
      <c r="B2" s="211" t="s">
        <v>160</v>
      </c>
    </row>
    <row r="3" spans="1:2">
      <c r="A3" s="2" t="s">
        <v>8</v>
      </c>
      <c r="B3" s="211" t="s">
        <v>161</v>
      </c>
    </row>
    <row r="4" spans="1:2">
      <c r="A4" s="2" t="s">
        <v>9</v>
      </c>
      <c r="B4" s="211" t="s">
        <v>162</v>
      </c>
    </row>
    <row r="5" spans="1:2">
      <c r="A5" s="212" t="s">
        <v>11</v>
      </c>
      <c r="B5" s="211" t="s">
        <v>163</v>
      </c>
    </row>
    <row r="6" spans="1:2">
      <c r="A6" s="212" t="s">
        <v>12</v>
      </c>
      <c r="B6" s="211" t="s">
        <v>163</v>
      </c>
    </row>
    <row r="7" spans="1:2">
      <c r="A7" s="213" t="s">
        <v>13</v>
      </c>
      <c r="B7" s="211" t="s">
        <v>163</v>
      </c>
    </row>
    <row r="8" spans="1:2">
      <c r="A8" s="213" t="s">
        <v>14</v>
      </c>
      <c r="B8" s="211" t="s">
        <v>163</v>
      </c>
    </row>
    <row r="9" spans="1:2">
      <c r="A9" s="214" t="s">
        <v>15</v>
      </c>
      <c r="B9" s="211" t="s">
        <v>164</v>
      </c>
    </row>
    <row r="10" spans="1:2">
      <c r="A10" s="213" t="s">
        <v>16</v>
      </c>
      <c r="B10" s="211" t="s">
        <v>165</v>
      </c>
    </row>
    <row r="11" spans="1:2">
      <c r="A11" s="215" t="s">
        <v>17</v>
      </c>
      <c r="B11" s="211" t="s">
        <v>166</v>
      </c>
    </row>
    <row r="12" spans="1:2">
      <c r="A12" s="215" t="s">
        <v>18</v>
      </c>
      <c r="B12" s="211" t="s">
        <v>166</v>
      </c>
    </row>
    <row r="13" spans="1:2">
      <c r="A13" s="216" t="s">
        <v>19</v>
      </c>
      <c r="B13" s="211" t="s">
        <v>167</v>
      </c>
    </row>
    <row r="14" spans="1:2">
      <c r="A14" s="216" t="s">
        <v>20</v>
      </c>
      <c r="B14" s="211" t="s">
        <v>167</v>
      </c>
    </row>
    <row r="15" spans="1:2">
      <c r="A15" s="216" t="s">
        <v>21</v>
      </c>
      <c r="B15" s="211" t="s">
        <v>167</v>
      </c>
    </row>
    <row r="16" spans="1:2">
      <c r="A16" s="216" t="s">
        <v>22</v>
      </c>
      <c r="B16" s="211" t="s">
        <v>168</v>
      </c>
    </row>
    <row r="17" spans="1:2">
      <c r="A17" s="216" t="s">
        <v>23</v>
      </c>
      <c r="B17" s="211" t="s">
        <v>169</v>
      </c>
    </row>
    <row r="18" spans="1:2">
      <c r="A18" s="216" t="s">
        <v>24</v>
      </c>
      <c r="B18" s="211" t="s">
        <v>170</v>
      </c>
    </row>
    <row r="19" spans="1:2">
      <c r="A19" s="216" t="s">
        <v>25</v>
      </c>
      <c r="B19" s="211" t="s">
        <v>171</v>
      </c>
    </row>
    <row r="20" spans="1:2">
      <c r="A20" s="217" t="s">
        <v>29</v>
      </c>
      <c r="B20" s="211" t="s">
        <v>172</v>
      </c>
    </row>
    <row r="21" spans="1:2">
      <c r="A21" s="217" t="s">
        <v>30</v>
      </c>
      <c r="B21" s="211" t="s">
        <v>172</v>
      </c>
    </row>
    <row r="22" spans="1:2">
      <c r="A22" s="217" t="s">
        <v>31</v>
      </c>
      <c r="B22" s="211" t="s">
        <v>172</v>
      </c>
    </row>
    <row r="23" spans="1:2">
      <c r="A23" s="217" t="s">
        <v>29</v>
      </c>
      <c r="B23" s="211" t="s">
        <v>173</v>
      </c>
    </row>
    <row r="24" spans="1:2">
      <c r="A24" s="217" t="s">
        <v>30</v>
      </c>
      <c r="B24" s="211" t="s">
        <v>173</v>
      </c>
    </row>
    <row r="25" spans="1:2">
      <c r="A25" s="217" t="s">
        <v>31</v>
      </c>
      <c r="B25" s="211" t="s">
        <v>173</v>
      </c>
    </row>
    <row r="26" spans="1:2">
      <c r="A26" s="218" t="s">
        <v>32</v>
      </c>
      <c r="B26" s="211" t="s">
        <v>174</v>
      </c>
    </row>
    <row r="27" spans="1:2">
      <c r="A27" s="218" t="s">
        <v>33</v>
      </c>
      <c r="B27" s="211" t="s">
        <v>174</v>
      </c>
    </row>
    <row r="28" spans="1:2">
      <c r="A28" s="218" t="s">
        <v>34</v>
      </c>
      <c r="B28" s="211" t="s">
        <v>175</v>
      </c>
    </row>
    <row r="29" spans="1:2">
      <c r="A29" s="218" t="s">
        <v>35</v>
      </c>
      <c r="B29" s="211" t="s">
        <v>175</v>
      </c>
    </row>
    <row r="30" spans="1:2">
      <c r="B30" s="219"/>
    </row>
    <row r="31" spans="1:2">
      <c r="A31" s="243" t="s">
        <v>176</v>
      </c>
      <c r="B31" s="233"/>
    </row>
    <row r="32" spans="1:2">
      <c r="A32" s="213" t="s">
        <v>8</v>
      </c>
      <c r="B32" s="219" t="s">
        <v>177</v>
      </c>
    </row>
    <row r="33" spans="1:2">
      <c r="A33" s="213" t="s">
        <v>104</v>
      </c>
      <c r="B33" s="219" t="s">
        <v>178</v>
      </c>
    </row>
    <row r="34" spans="1:2">
      <c r="A34" s="213" t="s">
        <v>15</v>
      </c>
      <c r="B34" s="219" t="s">
        <v>179</v>
      </c>
    </row>
    <row r="35" spans="1:2">
      <c r="A35" s="213" t="s">
        <v>17</v>
      </c>
      <c r="B35" s="219" t="s">
        <v>180</v>
      </c>
    </row>
    <row r="36" spans="1:2">
      <c r="A36" s="214" t="s">
        <v>18</v>
      </c>
      <c r="B36" s="219" t="s">
        <v>180</v>
      </c>
    </row>
    <row r="37" spans="1:2">
      <c r="A37" s="213" t="s">
        <v>19</v>
      </c>
      <c r="B37" s="219" t="s">
        <v>180</v>
      </c>
    </row>
    <row r="38" spans="1:2">
      <c r="A38" s="213" t="s">
        <v>20</v>
      </c>
      <c r="B38" s="219" t="s">
        <v>180</v>
      </c>
    </row>
    <row r="39" spans="1:2">
      <c r="A39" s="213" t="s">
        <v>21</v>
      </c>
      <c r="B39" s="219" t="s">
        <v>180</v>
      </c>
    </row>
    <row r="40" spans="1:2">
      <c r="A40" s="220" t="s">
        <v>110</v>
      </c>
      <c r="B40" s="219" t="s">
        <v>180</v>
      </c>
    </row>
    <row r="41" spans="1:2">
      <c r="A41" s="213" t="s">
        <v>24</v>
      </c>
      <c r="B41" s="219" t="s">
        <v>180</v>
      </c>
    </row>
    <row r="42" spans="1:2">
      <c r="A42" s="220" t="s">
        <v>111</v>
      </c>
      <c r="B42" s="219" t="s">
        <v>180</v>
      </c>
    </row>
    <row r="43" spans="1:2">
      <c r="A43" s="213" t="s">
        <v>26</v>
      </c>
      <c r="B43" s="219" t="s">
        <v>180</v>
      </c>
    </row>
    <row r="44" spans="1:2">
      <c r="B44" s="219"/>
    </row>
    <row r="45" spans="1:2">
      <c r="A45" s="244" t="s">
        <v>181</v>
      </c>
      <c r="B45" s="233"/>
    </row>
    <row r="46" spans="1:2">
      <c r="A46" s="221" t="s">
        <v>9</v>
      </c>
      <c r="B46" s="219" t="s">
        <v>182</v>
      </c>
    </row>
    <row r="47" spans="1:2">
      <c r="A47" s="221" t="s">
        <v>112</v>
      </c>
      <c r="B47" s="219" t="s">
        <v>183</v>
      </c>
    </row>
    <row r="48" spans="1:2">
      <c r="A48" s="222" t="s">
        <v>113</v>
      </c>
      <c r="B48" s="219" t="s">
        <v>184</v>
      </c>
    </row>
    <row r="49" spans="1:2">
      <c r="A49" s="222" t="s">
        <v>114</v>
      </c>
      <c r="B49" s="219" t="s">
        <v>185</v>
      </c>
    </row>
    <row r="50" spans="1:2">
      <c r="A50" s="222" t="s">
        <v>15</v>
      </c>
      <c r="B50" s="219" t="s">
        <v>186</v>
      </c>
    </row>
    <row r="51" spans="1:2">
      <c r="A51" s="222" t="s">
        <v>115</v>
      </c>
      <c r="B51" s="219" t="s">
        <v>187</v>
      </c>
    </row>
    <row r="52" spans="1:2">
      <c r="A52" s="223" t="s">
        <v>17</v>
      </c>
      <c r="B52" s="219" t="s">
        <v>188</v>
      </c>
    </row>
    <row r="53" spans="1:2">
      <c r="A53" s="223" t="s">
        <v>18</v>
      </c>
      <c r="B53" s="219" t="s">
        <v>189</v>
      </c>
    </row>
    <row r="54" spans="1:2">
      <c r="A54" s="222" t="s">
        <v>110</v>
      </c>
      <c r="B54" s="219" t="s">
        <v>190</v>
      </c>
    </row>
    <row r="55" spans="1:2">
      <c r="A55" s="222" t="s">
        <v>116</v>
      </c>
      <c r="B55" s="219" t="s">
        <v>191</v>
      </c>
    </row>
    <row r="56" spans="1:2">
      <c r="A56" s="224" t="s">
        <v>117</v>
      </c>
      <c r="B56" s="219" t="s">
        <v>192</v>
      </c>
    </row>
    <row r="57" spans="1:2">
      <c r="A57" s="224" t="s">
        <v>118</v>
      </c>
      <c r="B57" s="219" t="s">
        <v>193</v>
      </c>
    </row>
    <row r="58" spans="1:2">
      <c r="A58" s="225" t="s">
        <v>119</v>
      </c>
      <c r="B58" s="219" t="s">
        <v>194</v>
      </c>
    </row>
    <row r="59" spans="1:2">
      <c r="A59" s="225" t="s">
        <v>120</v>
      </c>
      <c r="B59" s="219" t="s">
        <v>195</v>
      </c>
    </row>
    <row r="60" spans="1:2">
      <c r="A60" s="226" t="s">
        <v>121</v>
      </c>
      <c r="B60" s="219" t="s">
        <v>196</v>
      </c>
    </row>
    <row r="61" spans="1:2">
      <c r="A61" s="226" t="s">
        <v>122</v>
      </c>
      <c r="B61" s="227" t="s">
        <v>197</v>
      </c>
    </row>
    <row r="62" spans="1:2">
      <c r="A62" s="226" t="s">
        <v>123</v>
      </c>
      <c r="B62" s="227" t="s">
        <v>198</v>
      </c>
    </row>
    <row r="63" spans="1:2">
      <c r="A63" s="226" t="s">
        <v>124</v>
      </c>
      <c r="B63" s="219" t="s">
        <v>199</v>
      </c>
    </row>
    <row r="64" spans="1:2">
      <c r="A64" s="226" t="s">
        <v>125</v>
      </c>
      <c r="B64" s="219" t="s">
        <v>200</v>
      </c>
    </row>
    <row r="65" spans="1:2">
      <c r="A65" s="226" t="s">
        <v>126</v>
      </c>
      <c r="B65" s="219" t="s">
        <v>201</v>
      </c>
    </row>
    <row r="66" spans="1:2">
      <c r="A66" s="226" t="s">
        <v>127</v>
      </c>
      <c r="B66" s="219" t="s">
        <v>202</v>
      </c>
    </row>
    <row r="67" spans="1:2">
      <c r="B67" s="219"/>
    </row>
    <row r="68" spans="1:2">
      <c r="A68" s="245" t="s">
        <v>203</v>
      </c>
      <c r="B68" s="233"/>
    </row>
    <row r="69" spans="1:2">
      <c r="A69" s="228" t="s">
        <v>145</v>
      </c>
      <c r="B69" s="219" t="s">
        <v>204</v>
      </c>
    </row>
    <row r="70" spans="1:2">
      <c r="A70" s="228" t="s">
        <v>151</v>
      </c>
      <c r="B70" s="219" t="s">
        <v>205</v>
      </c>
    </row>
    <row r="71" spans="1:2">
      <c r="A71" s="228" t="s">
        <v>153</v>
      </c>
      <c r="B71" s="219" t="s">
        <v>206</v>
      </c>
    </row>
    <row r="72" spans="1:2">
      <c r="A72" s="228" t="s">
        <v>154</v>
      </c>
      <c r="B72" s="219" t="s">
        <v>207</v>
      </c>
    </row>
    <row r="73" spans="1:2">
      <c r="A73" s="228" t="s">
        <v>155</v>
      </c>
      <c r="B73" s="219" t="s">
        <v>208</v>
      </c>
    </row>
    <row r="74" spans="1:2">
      <c r="A74" s="228" t="s">
        <v>156</v>
      </c>
      <c r="B74" s="219" t="s">
        <v>209</v>
      </c>
    </row>
    <row r="75" spans="1:2">
      <c r="B75" s="219"/>
    </row>
    <row r="76" spans="1:2">
      <c r="B76" s="219"/>
    </row>
    <row r="77" spans="1:2">
      <c r="B77" s="219"/>
    </row>
    <row r="78" spans="1:2">
      <c r="B78" s="219"/>
    </row>
    <row r="79" spans="1:2">
      <c r="B79" s="219"/>
    </row>
    <row r="80" spans="1:2">
      <c r="B80" s="219"/>
    </row>
    <row r="81" spans="2:2">
      <c r="B81" s="219"/>
    </row>
    <row r="82" spans="2:2">
      <c r="B82" s="219"/>
    </row>
    <row r="83" spans="2:2">
      <c r="B83" s="219"/>
    </row>
    <row r="84" spans="2:2">
      <c r="B84" s="219"/>
    </row>
    <row r="85" spans="2:2">
      <c r="B85" s="219"/>
    </row>
    <row r="86" spans="2:2">
      <c r="B86" s="219"/>
    </row>
    <row r="87" spans="2:2">
      <c r="B87" s="219"/>
    </row>
    <row r="88" spans="2:2">
      <c r="B88" s="219"/>
    </row>
    <row r="89" spans="2:2">
      <c r="B89" s="219"/>
    </row>
    <row r="90" spans="2:2">
      <c r="B90" s="219"/>
    </row>
    <row r="91" spans="2:2">
      <c r="B91" s="219"/>
    </row>
    <row r="92" spans="2:2">
      <c r="B92" s="219"/>
    </row>
    <row r="93" spans="2:2">
      <c r="B93" s="219"/>
    </row>
    <row r="94" spans="2:2">
      <c r="B94" s="219"/>
    </row>
    <row r="95" spans="2:2">
      <c r="B95" s="219"/>
    </row>
    <row r="96" spans="2:2">
      <c r="B96" s="219"/>
    </row>
    <row r="97" spans="2:2">
      <c r="B97" s="219"/>
    </row>
    <row r="98" spans="2:2">
      <c r="B98" s="219"/>
    </row>
    <row r="99" spans="2:2">
      <c r="B99" s="219"/>
    </row>
    <row r="100" spans="2:2">
      <c r="B100" s="219"/>
    </row>
    <row r="101" spans="2:2">
      <c r="B101" s="219"/>
    </row>
    <row r="102" spans="2:2">
      <c r="B102" s="219"/>
    </row>
    <row r="103" spans="2:2">
      <c r="B103" s="219"/>
    </row>
    <row r="104" spans="2:2">
      <c r="B104" s="219"/>
    </row>
    <row r="105" spans="2:2">
      <c r="B105" s="219"/>
    </row>
    <row r="106" spans="2:2">
      <c r="B106" s="219"/>
    </row>
    <row r="107" spans="2:2">
      <c r="B107" s="219"/>
    </row>
    <row r="108" spans="2:2">
      <c r="B108" s="219"/>
    </row>
    <row r="109" spans="2:2">
      <c r="B109" s="219"/>
    </row>
    <row r="110" spans="2:2">
      <c r="B110" s="219"/>
    </row>
    <row r="111" spans="2:2">
      <c r="B111" s="219"/>
    </row>
    <row r="112" spans="2:2">
      <c r="B112" s="219"/>
    </row>
    <row r="113" spans="2:2">
      <c r="B113" s="219"/>
    </row>
    <row r="114" spans="2:2">
      <c r="B114" s="219"/>
    </row>
    <row r="115" spans="2:2">
      <c r="B115" s="219"/>
    </row>
    <row r="116" spans="2:2">
      <c r="B116" s="219"/>
    </row>
    <row r="117" spans="2:2">
      <c r="B117" s="219"/>
    </row>
    <row r="118" spans="2:2">
      <c r="B118" s="219"/>
    </row>
    <row r="119" spans="2:2">
      <c r="B119" s="219"/>
    </row>
    <row r="120" spans="2:2">
      <c r="B120" s="219"/>
    </row>
    <row r="121" spans="2:2">
      <c r="B121" s="219"/>
    </row>
    <row r="122" spans="2:2">
      <c r="B122" s="219"/>
    </row>
    <row r="123" spans="2:2">
      <c r="B123" s="219"/>
    </row>
    <row r="124" spans="2:2">
      <c r="B124" s="219"/>
    </row>
    <row r="125" spans="2:2">
      <c r="B125" s="219"/>
    </row>
    <row r="126" spans="2:2">
      <c r="B126" s="219"/>
    </row>
    <row r="127" spans="2:2">
      <c r="B127" s="219"/>
    </row>
    <row r="128" spans="2:2">
      <c r="B128" s="219"/>
    </row>
    <row r="129" spans="2:2">
      <c r="B129" s="219"/>
    </row>
    <row r="130" spans="2:2">
      <c r="B130" s="219"/>
    </row>
    <row r="131" spans="2:2">
      <c r="B131" s="219"/>
    </row>
    <row r="132" spans="2:2">
      <c r="B132" s="219"/>
    </row>
    <row r="133" spans="2:2">
      <c r="B133" s="219"/>
    </row>
    <row r="134" spans="2:2">
      <c r="B134" s="219"/>
    </row>
    <row r="135" spans="2:2">
      <c r="B135" s="219"/>
    </row>
    <row r="136" spans="2:2">
      <c r="B136" s="219"/>
    </row>
    <row r="137" spans="2:2">
      <c r="B137" s="219"/>
    </row>
    <row r="138" spans="2:2">
      <c r="B138" s="219"/>
    </row>
    <row r="139" spans="2:2">
      <c r="B139" s="219"/>
    </row>
    <row r="140" spans="2:2">
      <c r="B140" s="219"/>
    </row>
    <row r="141" spans="2:2">
      <c r="B141" s="219"/>
    </row>
    <row r="142" spans="2:2">
      <c r="B142" s="219"/>
    </row>
    <row r="143" spans="2:2">
      <c r="B143" s="219"/>
    </row>
    <row r="144" spans="2:2">
      <c r="B144" s="219"/>
    </row>
    <row r="145" spans="2:2">
      <c r="B145" s="219"/>
    </row>
    <row r="146" spans="2:2">
      <c r="B146" s="219"/>
    </row>
    <row r="147" spans="2:2">
      <c r="B147" s="219"/>
    </row>
    <row r="148" spans="2:2">
      <c r="B148" s="219"/>
    </row>
    <row r="149" spans="2:2">
      <c r="B149" s="219"/>
    </row>
    <row r="150" spans="2:2">
      <c r="B150" s="219"/>
    </row>
    <row r="151" spans="2:2">
      <c r="B151" s="219"/>
    </row>
    <row r="152" spans="2:2">
      <c r="B152" s="219"/>
    </row>
    <row r="153" spans="2:2">
      <c r="B153" s="219"/>
    </row>
    <row r="154" spans="2:2">
      <c r="B154" s="219"/>
    </row>
    <row r="155" spans="2:2">
      <c r="B155" s="219"/>
    </row>
    <row r="156" spans="2:2">
      <c r="B156" s="219"/>
    </row>
    <row r="157" spans="2:2">
      <c r="B157" s="219"/>
    </row>
    <row r="158" spans="2:2">
      <c r="B158" s="219"/>
    </row>
    <row r="159" spans="2:2">
      <c r="B159" s="219"/>
    </row>
    <row r="160" spans="2:2">
      <c r="B160" s="219"/>
    </row>
    <row r="161" spans="2:2">
      <c r="B161" s="219"/>
    </row>
    <row r="162" spans="2:2">
      <c r="B162" s="219"/>
    </row>
    <row r="163" spans="2:2">
      <c r="B163" s="219"/>
    </row>
    <row r="164" spans="2:2">
      <c r="B164" s="219"/>
    </row>
    <row r="165" spans="2:2">
      <c r="B165" s="219"/>
    </row>
    <row r="166" spans="2:2">
      <c r="B166" s="219"/>
    </row>
    <row r="167" spans="2:2">
      <c r="B167" s="219"/>
    </row>
    <row r="168" spans="2:2">
      <c r="B168" s="219"/>
    </row>
    <row r="169" spans="2:2">
      <c r="B169" s="219"/>
    </row>
    <row r="170" spans="2:2">
      <c r="B170" s="219"/>
    </row>
    <row r="171" spans="2:2">
      <c r="B171" s="219"/>
    </row>
    <row r="172" spans="2:2">
      <c r="B172" s="219"/>
    </row>
    <row r="173" spans="2:2">
      <c r="B173" s="219"/>
    </row>
    <row r="174" spans="2:2">
      <c r="B174" s="219"/>
    </row>
    <row r="175" spans="2:2">
      <c r="B175" s="219"/>
    </row>
    <row r="176" spans="2:2">
      <c r="B176" s="219"/>
    </row>
    <row r="177" spans="2:2">
      <c r="B177" s="219"/>
    </row>
    <row r="178" spans="2:2">
      <c r="B178" s="219"/>
    </row>
    <row r="179" spans="2:2">
      <c r="B179" s="219"/>
    </row>
    <row r="180" spans="2:2">
      <c r="B180" s="219"/>
    </row>
    <row r="181" spans="2:2">
      <c r="B181" s="219"/>
    </row>
    <row r="182" spans="2:2">
      <c r="B182" s="219"/>
    </row>
    <row r="183" spans="2:2">
      <c r="B183" s="219"/>
    </row>
    <row r="184" spans="2:2">
      <c r="B184" s="219"/>
    </row>
    <row r="185" spans="2:2">
      <c r="B185" s="219"/>
    </row>
    <row r="186" spans="2:2">
      <c r="B186" s="219"/>
    </row>
    <row r="187" spans="2:2">
      <c r="B187" s="219"/>
    </row>
    <row r="188" spans="2:2">
      <c r="B188" s="219"/>
    </row>
    <row r="189" spans="2:2">
      <c r="B189" s="219"/>
    </row>
    <row r="190" spans="2:2">
      <c r="B190" s="219"/>
    </row>
    <row r="191" spans="2:2">
      <c r="B191" s="219"/>
    </row>
    <row r="192" spans="2:2">
      <c r="B192" s="219"/>
    </row>
    <row r="193" spans="2:2">
      <c r="B193" s="219"/>
    </row>
    <row r="194" spans="2:2">
      <c r="B194" s="219"/>
    </row>
    <row r="195" spans="2:2">
      <c r="B195" s="219"/>
    </row>
    <row r="196" spans="2:2">
      <c r="B196" s="219"/>
    </row>
    <row r="197" spans="2:2">
      <c r="B197" s="219"/>
    </row>
    <row r="198" spans="2:2">
      <c r="B198" s="219"/>
    </row>
    <row r="199" spans="2:2">
      <c r="B199" s="219"/>
    </row>
    <row r="200" spans="2:2">
      <c r="B200" s="219"/>
    </row>
    <row r="201" spans="2:2">
      <c r="B201" s="219"/>
    </row>
    <row r="202" spans="2:2">
      <c r="B202" s="219"/>
    </row>
    <row r="203" spans="2:2">
      <c r="B203" s="219"/>
    </row>
    <row r="204" spans="2:2">
      <c r="B204" s="219"/>
    </row>
    <row r="205" spans="2:2">
      <c r="B205" s="219"/>
    </row>
    <row r="206" spans="2:2">
      <c r="B206" s="219"/>
    </row>
    <row r="207" spans="2:2">
      <c r="B207" s="219"/>
    </row>
    <row r="208" spans="2:2">
      <c r="B208" s="219"/>
    </row>
    <row r="209" spans="2:2">
      <c r="B209" s="219"/>
    </row>
    <row r="210" spans="2:2">
      <c r="B210" s="219"/>
    </row>
    <row r="211" spans="2:2">
      <c r="B211" s="219"/>
    </row>
    <row r="212" spans="2:2">
      <c r="B212" s="219"/>
    </row>
    <row r="213" spans="2:2">
      <c r="B213" s="219"/>
    </row>
    <row r="214" spans="2:2">
      <c r="B214" s="219"/>
    </row>
    <row r="215" spans="2:2">
      <c r="B215" s="219"/>
    </row>
    <row r="216" spans="2:2">
      <c r="B216" s="219"/>
    </row>
    <row r="217" spans="2:2">
      <c r="B217" s="219"/>
    </row>
    <row r="218" spans="2:2">
      <c r="B218" s="219"/>
    </row>
    <row r="219" spans="2:2">
      <c r="B219" s="219"/>
    </row>
    <row r="220" spans="2:2">
      <c r="B220" s="219"/>
    </row>
    <row r="221" spans="2:2">
      <c r="B221" s="219"/>
    </row>
    <row r="222" spans="2:2">
      <c r="B222" s="219"/>
    </row>
    <row r="223" spans="2:2">
      <c r="B223" s="219"/>
    </row>
    <row r="224" spans="2:2">
      <c r="B224" s="219"/>
    </row>
    <row r="225" spans="2:2">
      <c r="B225" s="219"/>
    </row>
    <row r="226" spans="2:2">
      <c r="B226" s="219"/>
    </row>
    <row r="227" spans="2:2">
      <c r="B227" s="219"/>
    </row>
    <row r="228" spans="2:2">
      <c r="B228" s="219"/>
    </row>
    <row r="229" spans="2:2">
      <c r="B229" s="219"/>
    </row>
    <row r="230" spans="2:2">
      <c r="B230" s="219"/>
    </row>
    <row r="231" spans="2:2">
      <c r="B231" s="219"/>
    </row>
    <row r="232" spans="2:2">
      <c r="B232" s="219"/>
    </row>
    <row r="233" spans="2:2">
      <c r="B233" s="219"/>
    </row>
    <row r="234" spans="2:2">
      <c r="B234" s="219"/>
    </row>
    <row r="235" spans="2:2">
      <c r="B235" s="219"/>
    </row>
    <row r="236" spans="2:2">
      <c r="B236" s="219"/>
    </row>
    <row r="237" spans="2:2">
      <c r="B237" s="219"/>
    </row>
    <row r="238" spans="2:2">
      <c r="B238" s="219"/>
    </row>
    <row r="239" spans="2:2">
      <c r="B239" s="219"/>
    </row>
    <row r="240" spans="2:2">
      <c r="B240" s="219"/>
    </row>
    <row r="241" spans="2:2">
      <c r="B241" s="219"/>
    </row>
    <row r="242" spans="2:2">
      <c r="B242" s="219"/>
    </row>
    <row r="243" spans="2:2">
      <c r="B243" s="219"/>
    </row>
    <row r="244" spans="2:2">
      <c r="B244" s="219"/>
    </row>
    <row r="245" spans="2:2">
      <c r="B245" s="219"/>
    </row>
    <row r="246" spans="2:2">
      <c r="B246" s="219"/>
    </row>
    <row r="247" spans="2:2">
      <c r="B247" s="219"/>
    </row>
    <row r="248" spans="2:2">
      <c r="B248" s="219"/>
    </row>
    <row r="249" spans="2:2">
      <c r="B249" s="219"/>
    </row>
    <row r="250" spans="2:2">
      <c r="B250" s="219"/>
    </row>
    <row r="251" spans="2:2">
      <c r="B251" s="219"/>
    </row>
    <row r="252" spans="2:2">
      <c r="B252" s="219"/>
    </row>
    <row r="253" spans="2:2">
      <c r="B253" s="219"/>
    </row>
    <row r="254" spans="2:2">
      <c r="B254" s="219"/>
    </row>
    <row r="255" spans="2:2">
      <c r="B255" s="219"/>
    </row>
    <row r="256" spans="2:2">
      <c r="B256" s="219"/>
    </row>
    <row r="257" spans="2:2">
      <c r="B257" s="219"/>
    </row>
    <row r="258" spans="2:2">
      <c r="B258" s="219"/>
    </row>
    <row r="259" spans="2:2">
      <c r="B259" s="219"/>
    </row>
    <row r="260" spans="2:2">
      <c r="B260" s="219"/>
    </row>
    <row r="261" spans="2:2">
      <c r="B261" s="219"/>
    </row>
    <row r="262" spans="2:2">
      <c r="B262" s="219"/>
    </row>
    <row r="263" spans="2:2">
      <c r="B263" s="219"/>
    </row>
    <row r="264" spans="2:2">
      <c r="B264" s="219"/>
    </row>
    <row r="265" spans="2:2">
      <c r="B265" s="219"/>
    </row>
    <row r="266" spans="2:2">
      <c r="B266" s="219"/>
    </row>
    <row r="267" spans="2:2">
      <c r="B267" s="219"/>
    </row>
    <row r="268" spans="2:2">
      <c r="B268" s="219"/>
    </row>
    <row r="269" spans="2:2">
      <c r="B269" s="219"/>
    </row>
    <row r="270" spans="2:2">
      <c r="B270" s="219"/>
    </row>
    <row r="271" spans="2:2">
      <c r="B271" s="219"/>
    </row>
    <row r="272" spans="2:2">
      <c r="B272" s="219"/>
    </row>
    <row r="273" spans="2:2">
      <c r="B273" s="219"/>
    </row>
    <row r="274" spans="2:2">
      <c r="B274" s="219"/>
    </row>
    <row r="275" spans="2:2">
      <c r="B275" s="219"/>
    </row>
    <row r="276" spans="2:2">
      <c r="B276" s="219"/>
    </row>
    <row r="277" spans="2:2">
      <c r="B277" s="219"/>
    </row>
    <row r="278" spans="2:2">
      <c r="B278" s="219"/>
    </row>
    <row r="279" spans="2:2">
      <c r="B279" s="219"/>
    </row>
    <row r="280" spans="2:2">
      <c r="B280" s="219"/>
    </row>
    <row r="281" spans="2:2">
      <c r="B281" s="219"/>
    </row>
    <row r="282" spans="2:2">
      <c r="B282" s="219"/>
    </row>
    <row r="283" spans="2:2">
      <c r="B283" s="219"/>
    </row>
    <row r="284" spans="2:2">
      <c r="B284" s="219"/>
    </row>
    <row r="285" spans="2:2">
      <c r="B285" s="219"/>
    </row>
    <row r="286" spans="2:2">
      <c r="B286" s="219"/>
    </row>
    <row r="287" spans="2:2">
      <c r="B287" s="219"/>
    </row>
    <row r="288" spans="2:2">
      <c r="B288" s="219"/>
    </row>
    <row r="289" spans="2:2">
      <c r="B289" s="219"/>
    </row>
    <row r="290" spans="2:2">
      <c r="B290" s="219"/>
    </row>
    <row r="291" spans="2:2">
      <c r="B291" s="219"/>
    </row>
    <row r="292" spans="2:2">
      <c r="B292" s="219"/>
    </row>
    <row r="293" spans="2:2">
      <c r="B293" s="219"/>
    </row>
    <row r="294" spans="2:2">
      <c r="B294" s="219"/>
    </row>
    <row r="295" spans="2:2">
      <c r="B295" s="219"/>
    </row>
    <row r="296" spans="2:2">
      <c r="B296" s="219"/>
    </row>
    <row r="297" spans="2:2">
      <c r="B297" s="219"/>
    </row>
    <row r="298" spans="2:2">
      <c r="B298" s="219"/>
    </row>
    <row r="299" spans="2:2">
      <c r="B299" s="219"/>
    </row>
    <row r="300" spans="2:2">
      <c r="B300" s="219"/>
    </row>
    <row r="301" spans="2:2">
      <c r="B301" s="219"/>
    </row>
    <row r="302" spans="2:2">
      <c r="B302" s="219"/>
    </row>
    <row r="303" spans="2:2">
      <c r="B303" s="219"/>
    </row>
    <row r="304" spans="2:2">
      <c r="B304" s="219"/>
    </row>
    <row r="305" spans="2:2">
      <c r="B305" s="219"/>
    </row>
    <row r="306" spans="2:2">
      <c r="B306" s="219"/>
    </row>
    <row r="307" spans="2:2">
      <c r="B307" s="219"/>
    </row>
    <row r="308" spans="2:2">
      <c r="B308" s="219"/>
    </row>
    <row r="309" spans="2:2">
      <c r="B309" s="219"/>
    </row>
    <row r="310" spans="2:2">
      <c r="B310" s="219"/>
    </row>
    <row r="311" spans="2:2">
      <c r="B311" s="219"/>
    </row>
    <row r="312" spans="2:2">
      <c r="B312" s="219"/>
    </row>
    <row r="313" spans="2:2">
      <c r="B313" s="219"/>
    </row>
    <row r="314" spans="2:2">
      <c r="B314" s="219"/>
    </row>
    <row r="315" spans="2:2">
      <c r="B315" s="219"/>
    </row>
    <row r="316" spans="2:2">
      <c r="B316" s="219"/>
    </row>
    <row r="317" spans="2:2">
      <c r="B317" s="219"/>
    </row>
    <row r="318" spans="2:2">
      <c r="B318" s="219"/>
    </row>
    <row r="319" spans="2:2">
      <c r="B319" s="219"/>
    </row>
    <row r="320" spans="2:2">
      <c r="B320" s="219"/>
    </row>
    <row r="321" spans="2:2">
      <c r="B321" s="219"/>
    </row>
    <row r="322" spans="2:2">
      <c r="B322" s="219"/>
    </row>
    <row r="323" spans="2:2">
      <c r="B323" s="219"/>
    </row>
    <row r="324" spans="2:2">
      <c r="B324" s="219"/>
    </row>
    <row r="325" spans="2:2">
      <c r="B325" s="219"/>
    </row>
    <row r="326" spans="2:2">
      <c r="B326" s="219"/>
    </row>
    <row r="327" spans="2:2">
      <c r="B327" s="219"/>
    </row>
    <row r="328" spans="2:2">
      <c r="B328" s="219"/>
    </row>
    <row r="329" spans="2:2">
      <c r="B329" s="219"/>
    </row>
    <row r="330" spans="2:2">
      <c r="B330" s="219"/>
    </row>
    <row r="331" spans="2:2">
      <c r="B331" s="219"/>
    </row>
    <row r="332" spans="2:2">
      <c r="B332" s="219"/>
    </row>
    <row r="333" spans="2:2">
      <c r="B333" s="219"/>
    </row>
    <row r="334" spans="2:2">
      <c r="B334" s="219"/>
    </row>
    <row r="335" spans="2:2">
      <c r="B335" s="219"/>
    </row>
    <row r="336" spans="2:2">
      <c r="B336" s="219"/>
    </row>
    <row r="337" spans="2:2">
      <c r="B337" s="219"/>
    </row>
    <row r="338" spans="2:2">
      <c r="B338" s="219"/>
    </row>
    <row r="339" spans="2:2">
      <c r="B339" s="219"/>
    </row>
    <row r="340" spans="2:2">
      <c r="B340" s="219"/>
    </row>
    <row r="341" spans="2:2">
      <c r="B341" s="219"/>
    </row>
    <row r="342" spans="2:2">
      <c r="B342" s="219"/>
    </row>
    <row r="343" spans="2:2">
      <c r="B343" s="219"/>
    </row>
    <row r="344" spans="2:2">
      <c r="B344" s="219"/>
    </row>
    <row r="345" spans="2:2">
      <c r="B345" s="219"/>
    </row>
    <row r="346" spans="2:2">
      <c r="B346" s="219"/>
    </row>
    <row r="347" spans="2:2">
      <c r="B347" s="219"/>
    </row>
    <row r="348" spans="2:2">
      <c r="B348" s="219"/>
    </row>
    <row r="349" spans="2:2">
      <c r="B349" s="219"/>
    </row>
    <row r="350" spans="2:2">
      <c r="B350" s="219"/>
    </row>
    <row r="351" spans="2:2">
      <c r="B351" s="219"/>
    </row>
    <row r="352" spans="2:2">
      <c r="B352" s="219"/>
    </row>
    <row r="353" spans="2:2">
      <c r="B353" s="219"/>
    </row>
    <row r="354" spans="2:2">
      <c r="B354" s="219"/>
    </row>
    <row r="355" spans="2:2">
      <c r="B355" s="219"/>
    </row>
    <row r="356" spans="2:2">
      <c r="B356" s="219"/>
    </row>
    <row r="357" spans="2:2">
      <c r="B357" s="219"/>
    </row>
    <row r="358" spans="2:2">
      <c r="B358" s="219"/>
    </row>
    <row r="359" spans="2:2">
      <c r="B359" s="219"/>
    </row>
    <row r="360" spans="2:2">
      <c r="B360" s="219"/>
    </row>
    <row r="361" spans="2:2">
      <c r="B361" s="219"/>
    </row>
    <row r="362" spans="2:2">
      <c r="B362" s="219"/>
    </row>
    <row r="363" spans="2:2">
      <c r="B363" s="219"/>
    </row>
    <row r="364" spans="2:2">
      <c r="B364" s="219"/>
    </row>
    <row r="365" spans="2:2">
      <c r="B365" s="219"/>
    </row>
    <row r="366" spans="2:2">
      <c r="B366" s="219"/>
    </row>
    <row r="367" spans="2:2">
      <c r="B367" s="219"/>
    </row>
    <row r="368" spans="2:2">
      <c r="B368" s="219"/>
    </row>
    <row r="369" spans="2:2">
      <c r="B369" s="219"/>
    </row>
    <row r="370" spans="2:2">
      <c r="B370" s="219"/>
    </row>
    <row r="371" spans="2:2">
      <c r="B371" s="219"/>
    </row>
    <row r="372" spans="2:2">
      <c r="B372" s="219"/>
    </row>
    <row r="373" spans="2:2">
      <c r="B373" s="219"/>
    </row>
    <row r="374" spans="2:2">
      <c r="B374" s="219"/>
    </row>
    <row r="375" spans="2:2">
      <c r="B375" s="219"/>
    </row>
    <row r="376" spans="2:2">
      <c r="B376" s="219"/>
    </row>
    <row r="377" spans="2:2">
      <c r="B377" s="219"/>
    </row>
    <row r="378" spans="2:2">
      <c r="B378" s="219"/>
    </row>
    <row r="379" spans="2:2">
      <c r="B379" s="219"/>
    </row>
    <row r="380" spans="2:2">
      <c r="B380" s="219"/>
    </row>
    <row r="381" spans="2:2">
      <c r="B381" s="219"/>
    </row>
    <row r="382" spans="2:2">
      <c r="B382" s="219"/>
    </row>
    <row r="383" spans="2:2">
      <c r="B383" s="219"/>
    </row>
    <row r="384" spans="2:2">
      <c r="B384" s="219"/>
    </row>
    <row r="385" spans="2:2">
      <c r="B385" s="219"/>
    </row>
    <row r="386" spans="2:2">
      <c r="B386" s="219"/>
    </row>
    <row r="387" spans="2:2">
      <c r="B387" s="219"/>
    </row>
    <row r="388" spans="2:2">
      <c r="B388" s="219"/>
    </row>
    <row r="389" spans="2:2">
      <c r="B389" s="219"/>
    </row>
    <row r="390" spans="2:2">
      <c r="B390" s="219"/>
    </row>
    <row r="391" spans="2:2">
      <c r="B391" s="219"/>
    </row>
    <row r="392" spans="2:2">
      <c r="B392" s="219"/>
    </row>
    <row r="393" spans="2:2">
      <c r="B393" s="219"/>
    </row>
    <row r="394" spans="2:2">
      <c r="B394" s="219"/>
    </row>
    <row r="395" spans="2:2">
      <c r="B395" s="219"/>
    </row>
    <row r="396" spans="2:2">
      <c r="B396" s="219"/>
    </row>
    <row r="397" spans="2:2">
      <c r="B397" s="219"/>
    </row>
    <row r="398" spans="2:2">
      <c r="B398" s="219"/>
    </row>
    <row r="399" spans="2:2">
      <c r="B399" s="219"/>
    </row>
    <row r="400" spans="2:2">
      <c r="B400" s="219"/>
    </row>
    <row r="401" spans="2:2">
      <c r="B401" s="219"/>
    </row>
    <row r="402" spans="2:2">
      <c r="B402" s="219"/>
    </row>
    <row r="403" spans="2:2">
      <c r="B403" s="219"/>
    </row>
    <row r="404" spans="2:2">
      <c r="B404" s="219"/>
    </row>
    <row r="405" spans="2:2">
      <c r="B405" s="219"/>
    </row>
    <row r="406" spans="2:2">
      <c r="B406" s="219"/>
    </row>
    <row r="407" spans="2:2">
      <c r="B407" s="219"/>
    </row>
    <row r="408" spans="2:2">
      <c r="B408" s="219"/>
    </row>
    <row r="409" spans="2:2">
      <c r="B409" s="219"/>
    </row>
    <row r="410" spans="2:2">
      <c r="B410" s="219"/>
    </row>
    <row r="411" spans="2:2">
      <c r="B411" s="219"/>
    </row>
    <row r="412" spans="2:2">
      <c r="B412" s="219"/>
    </row>
    <row r="413" spans="2:2">
      <c r="B413" s="219"/>
    </row>
    <row r="414" spans="2:2">
      <c r="B414" s="219"/>
    </row>
    <row r="415" spans="2:2">
      <c r="B415" s="219"/>
    </row>
    <row r="416" spans="2:2">
      <c r="B416" s="219"/>
    </row>
    <row r="417" spans="2:2">
      <c r="B417" s="219"/>
    </row>
    <row r="418" spans="2:2">
      <c r="B418" s="219"/>
    </row>
    <row r="419" spans="2:2">
      <c r="B419" s="219"/>
    </row>
    <row r="420" spans="2:2">
      <c r="B420" s="219"/>
    </row>
    <row r="421" spans="2:2">
      <c r="B421" s="219"/>
    </row>
    <row r="422" spans="2:2">
      <c r="B422" s="219"/>
    </row>
    <row r="423" spans="2:2">
      <c r="B423" s="219"/>
    </row>
    <row r="424" spans="2:2">
      <c r="B424" s="219"/>
    </row>
    <row r="425" spans="2:2">
      <c r="B425" s="219"/>
    </row>
    <row r="426" spans="2:2">
      <c r="B426" s="219"/>
    </row>
    <row r="427" spans="2:2">
      <c r="B427" s="219"/>
    </row>
    <row r="428" spans="2:2">
      <c r="B428" s="219"/>
    </row>
    <row r="429" spans="2:2">
      <c r="B429" s="219"/>
    </row>
    <row r="430" spans="2:2">
      <c r="B430" s="219"/>
    </row>
    <row r="431" spans="2:2">
      <c r="B431" s="219"/>
    </row>
    <row r="432" spans="2:2">
      <c r="B432" s="219"/>
    </row>
    <row r="433" spans="2:2">
      <c r="B433" s="219"/>
    </row>
    <row r="434" spans="2:2">
      <c r="B434" s="219"/>
    </row>
    <row r="435" spans="2:2">
      <c r="B435" s="219"/>
    </row>
    <row r="436" spans="2:2">
      <c r="B436" s="219"/>
    </row>
    <row r="437" spans="2:2">
      <c r="B437" s="219"/>
    </row>
    <row r="438" spans="2:2">
      <c r="B438" s="219"/>
    </row>
    <row r="439" spans="2:2">
      <c r="B439" s="219"/>
    </row>
    <row r="440" spans="2:2">
      <c r="B440" s="219"/>
    </row>
    <row r="441" spans="2:2">
      <c r="B441" s="219"/>
    </row>
    <row r="442" spans="2:2">
      <c r="B442" s="219"/>
    </row>
    <row r="443" spans="2:2">
      <c r="B443" s="219"/>
    </row>
    <row r="444" spans="2:2">
      <c r="B444" s="219"/>
    </row>
    <row r="445" spans="2:2">
      <c r="B445" s="219"/>
    </row>
    <row r="446" spans="2:2">
      <c r="B446" s="219"/>
    </row>
    <row r="447" spans="2:2">
      <c r="B447" s="219"/>
    </row>
    <row r="448" spans="2:2">
      <c r="B448" s="219"/>
    </row>
    <row r="449" spans="2:2">
      <c r="B449" s="219"/>
    </row>
    <row r="450" spans="2:2">
      <c r="B450" s="219"/>
    </row>
    <row r="451" spans="2:2">
      <c r="B451" s="219"/>
    </row>
    <row r="452" spans="2:2">
      <c r="B452" s="219"/>
    </row>
    <row r="453" spans="2:2">
      <c r="B453" s="219"/>
    </row>
    <row r="454" spans="2:2">
      <c r="B454" s="219"/>
    </row>
    <row r="455" spans="2:2">
      <c r="B455" s="219"/>
    </row>
    <row r="456" spans="2:2">
      <c r="B456" s="219"/>
    </row>
    <row r="457" spans="2:2">
      <c r="B457" s="219"/>
    </row>
    <row r="458" spans="2:2">
      <c r="B458" s="219"/>
    </row>
    <row r="459" spans="2:2">
      <c r="B459" s="219"/>
    </row>
    <row r="460" spans="2:2">
      <c r="B460" s="219"/>
    </row>
    <row r="461" spans="2:2">
      <c r="B461" s="219"/>
    </row>
    <row r="462" spans="2:2">
      <c r="B462" s="219"/>
    </row>
    <row r="463" spans="2:2">
      <c r="B463" s="219"/>
    </row>
    <row r="464" spans="2:2">
      <c r="B464" s="219"/>
    </row>
    <row r="465" spans="2:2">
      <c r="B465" s="219"/>
    </row>
    <row r="466" spans="2:2">
      <c r="B466" s="219"/>
    </row>
    <row r="467" spans="2:2">
      <c r="B467" s="219"/>
    </row>
    <row r="468" spans="2:2">
      <c r="B468" s="219"/>
    </row>
    <row r="469" spans="2:2">
      <c r="B469" s="219"/>
    </row>
    <row r="470" spans="2:2">
      <c r="B470" s="219"/>
    </row>
    <row r="471" spans="2:2">
      <c r="B471" s="219"/>
    </row>
    <row r="472" spans="2:2">
      <c r="B472" s="219"/>
    </row>
    <row r="473" spans="2:2">
      <c r="B473" s="219"/>
    </row>
    <row r="474" spans="2:2">
      <c r="B474" s="219"/>
    </row>
    <row r="475" spans="2:2">
      <c r="B475" s="219"/>
    </row>
    <row r="476" spans="2:2">
      <c r="B476" s="219"/>
    </row>
    <row r="477" spans="2:2">
      <c r="B477" s="219"/>
    </row>
    <row r="478" spans="2:2">
      <c r="B478" s="219"/>
    </row>
    <row r="479" spans="2:2">
      <c r="B479" s="219"/>
    </row>
    <row r="480" spans="2:2">
      <c r="B480" s="219"/>
    </row>
    <row r="481" spans="2:2">
      <c r="B481" s="219"/>
    </row>
    <row r="482" spans="2:2">
      <c r="B482" s="219"/>
    </row>
    <row r="483" spans="2:2">
      <c r="B483" s="219"/>
    </row>
    <row r="484" spans="2:2">
      <c r="B484" s="219"/>
    </row>
    <row r="485" spans="2:2">
      <c r="B485" s="219"/>
    </row>
    <row r="486" spans="2:2">
      <c r="B486" s="219"/>
    </row>
    <row r="487" spans="2:2">
      <c r="B487" s="219"/>
    </row>
    <row r="488" spans="2:2">
      <c r="B488" s="219"/>
    </row>
    <row r="489" spans="2:2">
      <c r="B489" s="219"/>
    </row>
    <row r="490" spans="2:2">
      <c r="B490" s="219"/>
    </row>
    <row r="491" spans="2:2">
      <c r="B491" s="219"/>
    </row>
    <row r="492" spans="2:2">
      <c r="B492" s="219"/>
    </row>
    <row r="493" spans="2:2">
      <c r="B493" s="219"/>
    </row>
    <row r="494" spans="2:2">
      <c r="B494" s="219"/>
    </row>
    <row r="495" spans="2:2">
      <c r="B495" s="219"/>
    </row>
    <row r="496" spans="2:2">
      <c r="B496" s="219"/>
    </row>
    <row r="497" spans="2:2">
      <c r="B497" s="219"/>
    </row>
    <row r="498" spans="2:2">
      <c r="B498" s="219"/>
    </row>
    <row r="499" spans="2:2">
      <c r="B499" s="219"/>
    </row>
    <row r="500" spans="2:2">
      <c r="B500" s="219"/>
    </row>
    <row r="501" spans="2:2">
      <c r="B501" s="219"/>
    </row>
    <row r="502" spans="2:2">
      <c r="B502" s="219"/>
    </row>
    <row r="503" spans="2:2">
      <c r="B503" s="219"/>
    </row>
    <row r="504" spans="2:2">
      <c r="B504" s="219"/>
    </row>
    <row r="505" spans="2:2">
      <c r="B505" s="219"/>
    </row>
    <row r="506" spans="2:2">
      <c r="B506" s="219"/>
    </row>
    <row r="507" spans="2:2">
      <c r="B507" s="219"/>
    </row>
    <row r="508" spans="2:2">
      <c r="B508" s="219"/>
    </row>
    <row r="509" spans="2:2">
      <c r="B509" s="219"/>
    </row>
    <row r="510" spans="2:2">
      <c r="B510" s="219"/>
    </row>
    <row r="511" spans="2:2">
      <c r="B511" s="219"/>
    </row>
    <row r="512" spans="2:2">
      <c r="B512" s="219"/>
    </row>
    <row r="513" spans="2:2">
      <c r="B513" s="219"/>
    </row>
    <row r="514" spans="2:2">
      <c r="B514" s="219"/>
    </row>
    <row r="515" spans="2:2">
      <c r="B515" s="219"/>
    </row>
    <row r="516" spans="2:2">
      <c r="B516" s="219"/>
    </row>
    <row r="517" spans="2:2">
      <c r="B517" s="219"/>
    </row>
    <row r="518" spans="2:2">
      <c r="B518" s="219"/>
    </row>
    <row r="519" spans="2:2">
      <c r="B519" s="219"/>
    </row>
    <row r="520" spans="2:2">
      <c r="B520" s="219"/>
    </row>
    <row r="521" spans="2:2">
      <c r="B521" s="219"/>
    </row>
    <row r="522" spans="2:2">
      <c r="B522" s="219"/>
    </row>
    <row r="523" spans="2:2">
      <c r="B523" s="219"/>
    </row>
    <row r="524" spans="2:2">
      <c r="B524" s="219"/>
    </row>
    <row r="525" spans="2:2">
      <c r="B525" s="219"/>
    </row>
    <row r="526" spans="2:2">
      <c r="B526" s="219"/>
    </row>
    <row r="527" spans="2:2">
      <c r="B527" s="219"/>
    </row>
    <row r="528" spans="2:2">
      <c r="B528" s="219"/>
    </row>
    <row r="529" spans="2:2">
      <c r="B529" s="219"/>
    </row>
    <row r="530" spans="2:2">
      <c r="B530" s="219"/>
    </row>
    <row r="531" spans="2:2">
      <c r="B531" s="219"/>
    </row>
    <row r="532" spans="2:2">
      <c r="B532" s="219"/>
    </row>
    <row r="533" spans="2:2">
      <c r="B533" s="219"/>
    </row>
    <row r="534" spans="2:2">
      <c r="B534" s="219"/>
    </row>
    <row r="535" spans="2:2">
      <c r="B535" s="219"/>
    </row>
    <row r="536" spans="2:2">
      <c r="B536" s="219"/>
    </row>
    <row r="537" spans="2:2">
      <c r="B537" s="219"/>
    </row>
    <row r="538" spans="2:2">
      <c r="B538" s="219"/>
    </row>
    <row r="539" spans="2:2">
      <c r="B539" s="219"/>
    </row>
    <row r="540" spans="2:2">
      <c r="B540" s="219"/>
    </row>
    <row r="541" spans="2:2">
      <c r="B541" s="219"/>
    </row>
    <row r="542" spans="2:2">
      <c r="B542" s="219"/>
    </row>
    <row r="543" spans="2:2">
      <c r="B543" s="219"/>
    </row>
    <row r="544" spans="2:2">
      <c r="B544" s="219"/>
    </row>
    <row r="545" spans="2:2">
      <c r="B545" s="219"/>
    </row>
    <row r="546" spans="2:2">
      <c r="B546" s="219"/>
    </row>
    <row r="547" spans="2:2">
      <c r="B547" s="219"/>
    </row>
    <row r="548" spans="2:2">
      <c r="B548" s="219"/>
    </row>
    <row r="549" spans="2:2">
      <c r="B549" s="219"/>
    </row>
    <row r="550" spans="2:2">
      <c r="B550" s="219"/>
    </row>
    <row r="551" spans="2:2">
      <c r="B551" s="219"/>
    </row>
    <row r="552" spans="2:2">
      <c r="B552" s="219"/>
    </row>
    <row r="553" spans="2:2">
      <c r="B553" s="219"/>
    </row>
    <row r="554" spans="2:2">
      <c r="B554" s="219"/>
    </row>
    <row r="555" spans="2:2">
      <c r="B555" s="219"/>
    </row>
    <row r="556" spans="2:2">
      <c r="B556" s="219"/>
    </row>
    <row r="557" spans="2:2">
      <c r="B557" s="219"/>
    </row>
    <row r="558" spans="2:2">
      <c r="B558" s="219"/>
    </row>
    <row r="559" spans="2:2">
      <c r="B559" s="219"/>
    </row>
    <row r="560" spans="2:2">
      <c r="B560" s="219"/>
    </row>
    <row r="561" spans="2:2">
      <c r="B561" s="219"/>
    </row>
    <row r="562" spans="2:2">
      <c r="B562" s="219"/>
    </row>
    <row r="563" spans="2:2">
      <c r="B563" s="219"/>
    </row>
    <row r="564" spans="2:2">
      <c r="B564" s="219"/>
    </row>
    <row r="565" spans="2:2">
      <c r="B565" s="219"/>
    </row>
    <row r="566" spans="2:2">
      <c r="B566" s="219"/>
    </row>
    <row r="567" spans="2:2">
      <c r="B567" s="219"/>
    </row>
    <row r="568" spans="2:2">
      <c r="B568" s="219"/>
    </row>
    <row r="569" spans="2:2">
      <c r="B569" s="219"/>
    </row>
    <row r="570" spans="2:2">
      <c r="B570" s="219"/>
    </row>
    <row r="571" spans="2:2">
      <c r="B571" s="219"/>
    </row>
    <row r="572" spans="2:2">
      <c r="B572" s="219"/>
    </row>
    <row r="573" spans="2:2">
      <c r="B573" s="219"/>
    </row>
    <row r="574" spans="2:2">
      <c r="B574" s="219"/>
    </row>
    <row r="575" spans="2:2">
      <c r="B575" s="219"/>
    </row>
    <row r="576" spans="2:2">
      <c r="B576" s="219"/>
    </row>
    <row r="577" spans="2:2">
      <c r="B577" s="219"/>
    </row>
    <row r="578" spans="2:2">
      <c r="B578" s="219"/>
    </row>
    <row r="579" spans="2:2">
      <c r="B579" s="219"/>
    </row>
    <row r="580" spans="2:2">
      <c r="B580" s="219"/>
    </row>
    <row r="581" spans="2:2">
      <c r="B581" s="219"/>
    </row>
    <row r="582" spans="2:2">
      <c r="B582" s="219"/>
    </row>
    <row r="583" spans="2:2">
      <c r="B583" s="219"/>
    </row>
    <row r="584" spans="2:2">
      <c r="B584" s="219"/>
    </row>
    <row r="585" spans="2:2">
      <c r="B585" s="219"/>
    </row>
    <row r="586" spans="2:2">
      <c r="B586" s="219"/>
    </row>
    <row r="587" spans="2:2">
      <c r="B587" s="219"/>
    </row>
    <row r="588" spans="2:2">
      <c r="B588" s="219"/>
    </row>
    <row r="589" spans="2:2">
      <c r="B589" s="219"/>
    </row>
    <row r="590" spans="2:2">
      <c r="B590" s="219"/>
    </row>
    <row r="591" spans="2:2">
      <c r="B591" s="219"/>
    </row>
    <row r="592" spans="2:2">
      <c r="B592" s="219"/>
    </row>
    <row r="593" spans="2:2">
      <c r="B593" s="219"/>
    </row>
    <row r="594" spans="2:2">
      <c r="B594" s="219"/>
    </row>
    <row r="595" spans="2:2">
      <c r="B595" s="219"/>
    </row>
    <row r="596" spans="2:2">
      <c r="B596" s="219"/>
    </row>
    <row r="597" spans="2:2">
      <c r="B597" s="219"/>
    </row>
    <row r="598" spans="2:2">
      <c r="B598" s="219"/>
    </row>
    <row r="599" spans="2:2">
      <c r="B599" s="219"/>
    </row>
    <row r="600" spans="2:2">
      <c r="B600" s="219"/>
    </row>
    <row r="601" spans="2:2">
      <c r="B601" s="219"/>
    </row>
    <row r="602" spans="2:2">
      <c r="B602" s="219"/>
    </row>
    <row r="603" spans="2:2">
      <c r="B603" s="219"/>
    </row>
    <row r="604" spans="2:2">
      <c r="B604" s="219"/>
    </row>
    <row r="605" spans="2:2">
      <c r="B605" s="219"/>
    </row>
    <row r="606" spans="2:2">
      <c r="B606" s="219"/>
    </row>
    <row r="607" spans="2:2">
      <c r="B607" s="219"/>
    </row>
    <row r="608" spans="2:2">
      <c r="B608" s="219"/>
    </row>
    <row r="609" spans="2:2">
      <c r="B609" s="219"/>
    </row>
    <row r="610" spans="2:2">
      <c r="B610" s="219"/>
    </row>
    <row r="611" spans="2:2">
      <c r="B611" s="219"/>
    </row>
    <row r="612" spans="2:2">
      <c r="B612" s="219"/>
    </row>
    <row r="613" spans="2:2">
      <c r="B613" s="219"/>
    </row>
    <row r="614" spans="2:2">
      <c r="B614" s="219"/>
    </row>
    <row r="615" spans="2:2">
      <c r="B615" s="219"/>
    </row>
    <row r="616" spans="2:2">
      <c r="B616" s="219"/>
    </row>
    <row r="617" spans="2:2">
      <c r="B617" s="219"/>
    </row>
    <row r="618" spans="2:2">
      <c r="B618" s="219"/>
    </row>
    <row r="619" spans="2:2">
      <c r="B619" s="219"/>
    </row>
    <row r="620" spans="2:2">
      <c r="B620" s="219"/>
    </row>
    <row r="621" spans="2:2">
      <c r="B621" s="219"/>
    </row>
    <row r="622" spans="2:2">
      <c r="B622" s="219"/>
    </row>
    <row r="623" spans="2:2">
      <c r="B623" s="219"/>
    </row>
    <row r="624" spans="2:2">
      <c r="B624" s="219"/>
    </row>
    <row r="625" spans="2:2">
      <c r="B625" s="219"/>
    </row>
    <row r="626" spans="2:2">
      <c r="B626" s="219"/>
    </row>
    <row r="627" spans="2:2">
      <c r="B627" s="219"/>
    </row>
    <row r="628" spans="2:2">
      <c r="B628" s="219"/>
    </row>
    <row r="629" spans="2:2">
      <c r="B629" s="219"/>
    </row>
    <row r="630" spans="2:2">
      <c r="B630" s="219"/>
    </row>
    <row r="631" spans="2:2">
      <c r="B631" s="219"/>
    </row>
    <row r="632" spans="2:2">
      <c r="B632" s="219"/>
    </row>
    <row r="633" spans="2:2">
      <c r="B633" s="219"/>
    </row>
    <row r="634" spans="2:2">
      <c r="B634" s="219"/>
    </row>
    <row r="635" spans="2:2">
      <c r="B635" s="219"/>
    </row>
    <row r="636" spans="2:2">
      <c r="B636" s="219"/>
    </row>
    <row r="637" spans="2:2">
      <c r="B637" s="219"/>
    </row>
    <row r="638" spans="2:2">
      <c r="B638" s="219"/>
    </row>
    <row r="639" spans="2:2">
      <c r="B639" s="219"/>
    </row>
    <row r="640" spans="2:2">
      <c r="B640" s="219"/>
    </row>
    <row r="641" spans="2:2">
      <c r="B641" s="219"/>
    </row>
    <row r="642" spans="2:2">
      <c r="B642" s="219"/>
    </row>
    <row r="643" spans="2:2">
      <c r="B643" s="219"/>
    </row>
    <row r="644" spans="2:2">
      <c r="B644" s="219"/>
    </row>
    <row r="645" spans="2:2">
      <c r="B645" s="219"/>
    </row>
    <row r="646" spans="2:2">
      <c r="B646" s="219"/>
    </row>
    <row r="647" spans="2:2">
      <c r="B647" s="219"/>
    </row>
    <row r="648" spans="2:2">
      <c r="B648" s="219"/>
    </row>
    <row r="649" spans="2:2">
      <c r="B649" s="219"/>
    </row>
    <row r="650" spans="2:2">
      <c r="B650" s="219"/>
    </row>
    <row r="651" spans="2:2">
      <c r="B651" s="219"/>
    </row>
    <row r="652" spans="2:2">
      <c r="B652" s="219"/>
    </row>
    <row r="653" spans="2:2">
      <c r="B653" s="219"/>
    </row>
    <row r="654" spans="2:2">
      <c r="B654" s="219"/>
    </row>
    <row r="655" spans="2:2">
      <c r="B655" s="219"/>
    </row>
    <row r="656" spans="2:2">
      <c r="B656" s="219"/>
    </row>
    <row r="657" spans="2:2">
      <c r="B657" s="219"/>
    </row>
    <row r="658" spans="2:2">
      <c r="B658" s="219"/>
    </row>
    <row r="659" spans="2:2">
      <c r="B659" s="219"/>
    </row>
    <row r="660" spans="2:2">
      <c r="B660" s="219"/>
    </row>
    <row r="661" spans="2:2">
      <c r="B661" s="219"/>
    </row>
    <row r="662" spans="2:2">
      <c r="B662" s="219"/>
    </row>
    <row r="663" spans="2:2">
      <c r="B663" s="219"/>
    </row>
    <row r="664" spans="2:2">
      <c r="B664" s="219"/>
    </row>
    <row r="665" spans="2:2">
      <c r="B665" s="219"/>
    </row>
    <row r="666" spans="2:2">
      <c r="B666" s="219"/>
    </row>
    <row r="667" spans="2:2">
      <c r="B667" s="219"/>
    </row>
    <row r="668" spans="2:2">
      <c r="B668" s="219"/>
    </row>
    <row r="669" spans="2:2">
      <c r="B669" s="219"/>
    </row>
    <row r="670" spans="2:2">
      <c r="B670" s="219"/>
    </row>
    <row r="671" spans="2:2">
      <c r="B671" s="219"/>
    </row>
    <row r="672" spans="2:2">
      <c r="B672" s="219"/>
    </row>
    <row r="673" spans="2:2">
      <c r="B673" s="219"/>
    </row>
    <row r="674" spans="2:2">
      <c r="B674" s="219"/>
    </row>
    <row r="675" spans="2:2">
      <c r="B675" s="219"/>
    </row>
    <row r="676" spans="2:2">
      <c r="B676" s="219"/>
    </row>
    <row r="677" spans="2:2">
      <c r="B677" s="219"/>
    </row>
    <row r="678" spans="2:2">
      <c r="B678" s="219"/>
    </row>
    <row r="679" spans="2:2">
      <c r="B679" s="219"/>
    </row>
    <row r="680" spans="2:2">
      <c r="B680" s="219"/>
    </row>
    <row r="681" spans="2:2">
      <c r="B681" s="219"/>
    </row>
    <row r="682" spans="2:2">
      <c r="B682" s="219"/>
    </row>
    <row r="683" spans="2:2">
      <c r="B683" s="219"/>
    </row>
    <row r="684" spans="2:2">
      <c r="B684" s="219"/>
    </row>
    <row r="685" spans="2:2">
      <c r="B685" s="219"/>
    </row>
    <row r="686" spans="2:2">
      <c r="B686" s="219"/>
    </row>
    <row r="687" spans="2:2">
      <c r="B687" s="219"/>
    </row>
    <row r="688" spans="2:2">
      <c r="B688" s="219"/>
    </row>
    <row r="689" spans="2:2">
      <c r="B689" s="219"/>
    </row>
    <row r="690" spans="2:2">
      <c r="B690" s="219"/>
    </row>
    <row r="691" spans="2:2">
      <c r="B691" s="219"/>
    </row>
    <row r="692" spans="2:2">
      <c r="B692" s="219"/>
    </row>
    <row r="693" spans="2:2">
      <c r="B693" s="219"/>
    </row>
    <row r="694" spans="2:2">
      <c r="B694" s="219"/>
    </row>
    <row r="695" spans="2:2">
      <c r="B695" s="219"/>
    </row>
    <row r="696" spans="2:2">
      <c r="B696" s="219"/>
    </row>
    <row r="697" spans="2:2">
      <c r="B697" s="219"/>
    </row>
    <row r="698" spans="2:2">
      <c r="B698" s="219"/>
    </row>
    <row r="699" spans="2:2">
      <c r="B699" s="219"/>
    </row>
    <row r="700" spans="2:2">
      <c r="B700" s="219"/>
    </row>
    <row r="701" spans="2:2">
      <c r="B701" s="219"/>
    </row>
    <row r="702" spans="2:2">
      <c r="B702" s="219"/>
    </row>
    <row r="703" spans="2:2">
      <c r="B703" s="219"/>
    </row>
    <row r="704" spans="2:2">
      <c r="B704" s="219"/>
    </row>
    <row r="705" spans="2:2">
      <c r="B705" s="219"/>
    </row>
    <row r="706" spans="2:2">
      <c r="B706" s="219"/>
    </row>
    <row r="707" spans="2:2">
      <c r="B707" s="219"/>
    </row>
    <row r="708" spans="2:2">
      <c r="B708" s="219"/>
    </row>
    <row r="709" spans="2:2">
      <c r="B709" s="219"/>
    </row>
    <row r="710" spans="2:2">
      <c r="B710" s="219"/>
    </row>
    <row r="711" spans="2:2">
      <c r="B711" s="219"/>
    </row>
    <row r="712" spans="2:2">
      <c r="B712" s="219"/>
    </row>
    <row r="713" spans="2:2">
      <c r="B713" s="219"/>
    </row>
    <row r="714" spans="2:2">
      <c r="B714" s="219"/>
    </row>
    <row r="715" spans="2:2">
      <c r="B715" s="219"/>
    </row>
    <row r="716" spans="2:2">
      <c r="B716" s="219"/>
    </row>
    <row r="717" spans="2:2">
      <c r="B717" s="219"/>
    </row>
    <row r="718" spans="2:2">
      <c r="B718" s="219"/>
    </row>
    <row r="719" spans="2:2">
      <c r="B719" s="219"/>
    </row>
    <row r="720" spans="2:2">
      <c r="B720" s="219"/>
    </row>
    <row r="721" spans="2:2">
      <c r="B721" s="219"/>
    </row>
    <row r="722" spans="2:2">
      <c r="B722" s="219"/>
    </row>
    <row r="723" spans="2:2">
      <c r="B723" s="219"/>
    </row>
    <row r="724" spans="2:2">
      <c r="B724" s="219"/>
    </row>
    <row r="725" spans="2:2">
      <c r="B725" s="219"/>
    </row>
    <row r="726" spans="2:2">
      <c r="B726" s="219"/>
    </row>
    <row r="727" spans="2:2">
      <c r="B727" s="219"/>
    </row>
    <row r="728" spans="2:2">
      <c r="B728" s="219"/>
    </row>
    <row r="729" spans="2:2">
      <c r="B729" s="219"/>
    </row>
    <row r="730" spans="2:2">
      <c r="B730" s="219"/>
    </row>
    <row r="731" spans="2:2">
      <c r="B731" s="219"/>
    </row>
    <row r="732" spans="2:2">
      <c r="B732" s="219"/>
    </row>
    <row r="733" spans="2:2">
      <c r="B733" s="219"/>
    </row>
    <row r="734" spans="2:2">
      <c r="B734" s="219"/>
    </row>
    <row r="735" spans="2:2">
      <c r="B735" s="219"/>
    </row>
    <row r="736" spans="2:2">
      <c r="B736" s="219"/>
    </row>
    <row r="737" spans="2:2">
      <c r="B737" s="219"/>
    </row>
    <row r="738" spans="2:2">
      <c r="B738" s="219"/>
    </row>
    <row r="739" spans="2:2">
      <c r="B739" s="219"/>
    </row>
    <row r="740" spans="2:2">
      <c r="B740" s="219"/>
    </row>
    <row r="741" spans="2:2">
      <c r="B741" s="219"/>
    </row>
    <row r="742" spans="2:2">
      <c r="B742" s="219"/>
    </row>
    <row r="743" spans="2:2">
      <c r="B743" s="219"/>
    </row>
    <row r="744" spans="2:2">
      <c r="B744" s="219"/>
    </row>
    <row r="745" spans="2:2">
      <c r="B745" s="219"/>
    </row>
    <row r="746" spans="2:2">
      <c r="B746" s="219"/>
    </row>
    <row r="747" spans="2:2">
      <c r="B747" s="219"/>
    </row>
    <row r="748" spans="2:2">
      <c r="B748" s="219"/>
    </row>
    <row r="749" spans="2:2">
      <c r="B749" s="219"/>
    </row>
    <row r="750" spans="2:2">
      <c r="B750" s="219"/>
    </row>
    <row r="751" spans="2:2">
      <c r="B751" s="219"/>
    </row>
    <row r="752" spans="2:2">
      <c r="B752" s="219"/>
    </row>
    <row r="753" spans="2:2">
      <c r="B753" s="219"/>
    </row>
    <row r="754" spans="2:2">
      <c r="B754" s="219"/>
    </row>
    <row r="755" spans="2:2">
      <c r="B755" s="219"/>
    </row>
    <row r="756" spans="2:2">
      <c r="B756" s="219"/>
    </row>
    <row r="757" spans="2:2">
      <c r="B757" s="219"/>
    </row>
    <row r="758" spans="2:2">
      <c r="B758" s="219"/>
    </row>
    <row r="759" spans="2:2">
      <c r="B759" s="219"/>
    </row>
    <row r="760" spans="2:2">
      <c r="B760" s="219"/>
    </row>
    <row r="761" spans="2:2">
      <c r="B761" s="219"/>
    </row>
    <row r="762" spans="2:2">
      <c r="B762" s="219"/>
    </row>
    <row r="763" spans="2:2">
      <c r="B763" s="219"/>
    </row>
    <row r="764" spans="2:2">
      <c r="B764" s="219"/>
    </row>
    <row r="765" spans="2:2">
      <c r="B765" s="219"/>
    </row>
    <row r="766" spans="2:2">
      <c r="B766" s="219"/>
    </row>
    <row r="767" spans="2:2">
      <c r="B767" s="219"/>
    </row>
    <row r="768" spans="2:2">
      <c r="B768" s="219"/>
    </row>
    <row r="769" spans="2:2">
      <c r="B769" s="219"/>
    </row>
    <row r="770" spans="2:2">
      <c r="B770" s="219"/>
    </row>
    <row r="771" spans="2:2">
      <c r="B771" s="219"/>
    </row>
    <row r="772" spans="2:2">
      <c r="B772" s="219"/>
    </row>
    <row r="773" spans="2:2">
      <c r="B773" s="219"/>
    </row>
    <row r="774" spans="2:2">
      <c r="B774" s="219"/>
    </row>
    <row r="775" spans="2:2">
      <c r="B775" s="219"/>
    </row>
    <row r="776" spans="2:2">
      <c r="B776" s="219"/>
    </row>
    <row r="777" spans="2:2">
      <c r="B777" s="219"/>
    </row>
    <row r="778" spans="2:2">
      <c r="B778" s="219"/>
    </row>
    <row r="779" spans="2:2">
      <c r="B779" s="219"/>
    </row>
    <row r="780" spans="2:2">
      <c r="B780" s="219"/>
    </row>
    <row r="781" spans="2:2">
      <c r="B781" s="219"/>
    </row>
    <row r="782" spans="2:2">
      <c r="B782" s="219"/>
    </row>
    <row r="783" spans="2:2">
      <c r="B783" s="219"/>
    </row>
    <row r="784" spans="2:2">
      <c r="B784" s="219"/>
    </row>
    <row r="785" spans="2:2">
      <c r="B785" s="219"/>
    </row>
    <row r="786" spans="2:2">
      <c r="B786" s="219"/>
    </row>
    <row r="787" spans="2:2">
      <c r="B787" s="219"/>
    </row>
    <row r="788" spans="2:2">
      <c r="B788" s="219"/>
    </row>
    <row r="789" spans="2:2">
      <c r="B789" s="219"/>
    </row>
    <row r="790" spans="2:2">
      <c r="B790" s="219"/>
    </row>
    <row r="791" spans="2:2">
      <c r="B791" s="219"/>
    </row>
    <row r="792" spans="2:2">
      <c r="B792" s="219"/>
    </row>
    <row r="793" spans="2:2">
      <c r="B793" s="219"/>
    </row>
    <row r="794" spans="2:2">
      <c r="B794" s="219"/>
    </row>
    <row r="795" spans="2:2">
      <c r="B795" s="219"/>
    </row>
    <row r="796" spans="2:2">
      <c r="B796" s="219"/>
    </row>
    <row r="797" spans="2:2">
      <c r="B797" s="219"/>
    </row>
    <row r="798" spans="2:2">
      <c r="B798" s="219"/>
    </row>
    <row r="799" spans="2:2">
      <c r="B799" s="219"/>
    </row>
    <row r="800" spans="2:2">
      <c r="B800" s="219"/>
    </row>
    <row r="801" spans="2:2">
      <c r="B801" s="219"/>
    </row>
    <row r="802" spans="2:2">
      <c r="B802" s="219"/>
    </row>
    <row r="803" spans="2:2">
      <c r="B803" s="219"/>
    </row>
    <row r="804" spans="2:2">
      <c r="B804" s="219"/>
    </row>
    <row r="805" spans="2:2">
      <c r="B805" s="219"/>
    </row>
    <row r="806" spans="2:2">
      <c r="B806" s="219"/>
    </row>
    <row r="807" spans="2:2">
      <c r="B807" s="219"/>
    </row>
    <row r="808" spans="2:2">
      <c r="B808" s="219"/>
    </row>
    <row r="809" spans="2:2">
      <c r="B809" s="219"/>
    </row>
    <row r="810" spans="2:2">
      <c r="B810" s="219"/>
    </row>
    <row r="811" spans="2:2">
      <c r="B811" s="219"/>
    </row>
    <row r="812" spans="2:2">
      <c r="B812" s="219"/>
    </row>
    <row r="813" spans="2:2">
      <c r="B813" s="219"/>
    </row>
    <row r="814" spans="2:2">
      <c r="B814" s="219"/>
    </row>
    <row r="815" spans="2:2">
      <c r="B815" s="219"/>
    </row>
    <row r="816" spans="2:2">
      <c r="B816" s="219"/>
    </row>
    <row r="817" spans="2:2">
      <c r="B817" s="219"/>
    </row>
    <row r="818" spans="2:2">
      <c r="B818" s="219"/>
    </row>
    <row r="819" spans="2:2">
      <c r="B819" s="219"/>
    </row>
    <row r="820" spans="2:2">
      <c r="B820" s="219"/>
    </row>
    <row r="821" spans="2:2">
      <c r="B821" s="219"/>
    </row>
    <row r="822" spans="2:2">
      <c r="B822" s="219"/>
    </row>
    <row r="823" spans="2:2">
      <c r="B823" s="219"/>
    </row>
    <row r="824" spans="2:2">
      <c r="B824" s="219"/>
    </row>
    <row r="825" spans="2:2">
      <c r="B825" s="219"/>
    </row>
    <row r="826" spans="2:2">
      <c r="B826" s="219"/>
    </row>
    <row r="827" spans="2:2">
      <c r="B827" s="219"/>
    </row>
    <row r="828" spans="2:2">
      <c r="B828" s="219"/>
    </row>
    <row r="829" spans="2:2">
      <c r="B829" s="219"/>
    </row>
    <row r="830" spans="2:2">
      <c r="B830" s="219"/>
    </row>
    <row r="831" spans="2:2">
      <c r="B831" s="219"/>
    </row>
    <row r="832" spans="2:2">
      <c r="B832" s="219"/>
    </row>
    <row r="833" spans="2:2">
      <c r="B833" s="219"/>
    </row>
    <row r="834" spans="2:2">
      <c r="B834" s="219"/>
    </row>
    <row r="835" spans="2:2">
      <c r="B835" s="219"/>
    </row>
    <row r="836" spans="2:2">
      <c r="B836" s="219"/>
    </row>
    <row r="837" spans="2:2">
      <c r="B837" s="219"/>
    </row>
    <row r="838" spans="2:2">
      <c r="B838" s="219"/>
    </row>
    <row r="839" spans="2:2">
      <c r="B839" s="219"/>
    </row>
    <row r="840" spans="2:2">
      <c r="B840" s="219"/>
    </row>
    <row r="841" spans="2:2">
      <c r="B841" s="219"/>
    </row>
    <row r="842" spans="2:2">
      <c r="B842" s="219"/>
    </row>
    <row r="843" spans="2:2">
      <c r="B843" s="219"/>
    </row>
    <row r="844" spans="2:2">
      <c r="B844" s="219"/>
    </row>
    <row r="845" spans="2:2">
      <c r="B845" s="219"/>
    </row>
    <row r="846" spans="2:2">
      <c r="B846" s="219"/>
    </row>
    <row r="847" spans="2:2">
      <c r="B847" s="219"/>
    </row>
    <row r="848" spans="2:2">
      <c r="B848" s="219"/>
    </row>
    <row r="849" spans="2:2">
      <c r="B849" s="219"/>
    </row>
    <row r="850" spans="2:2">
      <c r="B850" s="219"/>
    </row>
    <row r="851" spans="2:2">
      <c r="B851" s="219"/>
    </row>
    <row r="852" spans="2:2">
      <c r="B852" s="219"/>
    </row>
    <row r="853" spans="2:2">
      <c r="B853" s="219"/>
    </row>
    <row r="854" spans="2:2">
      <c r="B854" s="219"/>
    </row>
    <row r="855" spans="2:2">
      <c r="B855" s="219"/>
    </row>
    <row r="856" spans="2:2">
      <c r="B856" s="219"/>
    </row>
    <row r="857" spans="2:2">
      <c r="B857" s="219"/>
    </row>
    <row r="858" spans="2:2">
      <c r="B858" s="219"/>
    </row>
    <row r="859" spans="2:2">
      <c r="B859" s="219"/>
    </row>
    <row r="860" spans="2:2">
      <c r="B860" s="219"/>
    </row>
    <row r="861" spans="2:2">
      <c r="B861" s="219"/>
    </row>
    <row r="862" spans="2:2">
      <c r="B862" s="219"/>
    </row>
    <row r="863" spans="2:2">
      <c r="B863" s="219"/>
    </row>
    <row r="864" spans="2:2">
      <c r="B864" s="219"/>
    </row>
    <row r="865" spans="2:2">
      <c r="B865" s="219"/>
    </row>
    <row r="866" spans="2:2">
      <c r="B866" s="219"/>
    </row>
    <row r="867" spans="2:2">
      <c r="B867" s="219"/>
    </row>
    <row r="868" spans="2:2">
      <c r="B868" s="219"/>
    </row>
    <row r="869" spans="2:2">
      <c r="B869" s="219"/>
    </row>
    <row r="870" spans="2:2">
      <c r="B870" s="219"/>
    </row>
    <row r="871" spans="2:2">
      <c r="B871" s="219"/>
    </row>
    <row r="872" spans="2:2">
      <c r="B872" s="219"/>
    </row>
    <row r="873" spans="2:2">
      <c r="B873" s="219"/>
    </row>
    <row r="874" spans="2:2">
      <c r="B874" s="219"/>
    </row>
    <row r="875" spans="2:2">
      <c r="B875" s="219"/>
    </row>
    <row r="876" spans="2:2">
      <c r="B876" s="219"/>
    </row>
    <row r="877" spans="2:2">
      <c r="B877" s="219"/>
    </row>
    <row r="878" spans="2:2">
      <c r="B878" s="219"/>
    </row>
    <row r="879" spans="2:2">
      <c r="B879" s="219"/>
    </row>
    <row r="880" spans="2:2">
      <c r="B880" s="219"/>
    </row>
    <row r="881" spans="2:2">
      <c r="B881" s="219"/>
    </row>
    <row r="882" spans="2:2">
      <c r="B882" s="219"/>
    </row>
    <row r="883" spans="2:2">
      <c r="B883" s="219"/>
    </row>
    <row r="884" spans="2:2">
      <c r="B884" s="219"/>
    </row>
    <row r="885" spans="2:2">
      <c r="B885" s="219"/>
    </row>
    <row r="886" spans="2:2">
      <c r="B886" s="219"/>
    </row>
    <row r="887" spans="2:2">
      <c r="B887" s="219"/>
    </row>
    <row r="888" spans="2:2">
      <c r="B888" s="219"/>
    </row>
    <row r="889" spans="2:2">
      <c r="B889" s="219"/>
    </row>
    <row r="890" spans="2:2">
      <c r="B890" s="219"/>
    </row>
    <row r="891" spans="2:2">
      <c r="B891" s="219"/>
    </row>
    <row r="892" spans="2:2">
      <c r="B892" s="219"/>
    </row>
    <row r="893" spans="2:2">
      <c r="B893" s="219"/>
    </row>
    <row r="894" spans="2:2">
      <c r="B894" s="219"/>
    </row>
    <row r="895" spans="2:2">
      <c r="B895" s="219"/>
    </row>
    <row r="896" spans="2:2">
      <c r="B896" s="219"/>
    </row>
    <row r="897" spans="2:2">
      <c r="B897" s="219"/>
    </row>
    <row r="898" spans="2:2">
      <c r="B898" s="219"/>
    </row>
    <row r="899" spans="2:2">
      <c r="B899" s="219"/>
    </row>
    <row r="900" spans="2:2">
      <c r="B900" s="219"/>
    </row>
    <row r="901" spans="2:2">
      <c r="B901" s="219"/>
    </row>
    <row r="902" spans="2:2">
      <c r="B902" s="219"/>
    </row>
    <row r="903" spans="2:2">
      <c r="B903" s="219"/>
    </row>
    <row r="904" spans="2:2">
      <c r="B904" s="219"/>
    </row>
    <row r="905" spans="2:2">
      <c r="B905" s="219"/>
    </row>
    <row r="906" spans="2:2">
      <c r="B906" s="219"/>
    </row>
    <row r="907" spans="2:2">
      <c r="B907" s="219"/>
    </row>
    <row r="908" spans="2:2">
      <c r="B908" s="219"/>
    </row>
    <row r="909" spans="2:2">
      <c r="B909" s="219"/>
    </row>
    <row r="910" spans="2:2">
      <c r="B910" s="219"/>
    </row>
    <row r="911" spans="2:2">
      <c r="B911" s="219"/>
    </row>
    <row r="912" spans="2:2">
      <c r="B912" s="219"/>
    </row>
    <row r="913" spans="2:2">
      <c r="B913" s="219"/>
    </row>
    <row r="914" spans="2:2">
      <c r="B914" s="219"/>
    </row>
    <row r="915" spans="2:2">
      <c r="B915" s="219"/>
    </row>
    <row r="916" spans="2:2">
      <c r="B916" s="219"/>
    </row>
    <row r="917" spans="2:2">
      <c r="B917" s="219"/>
    </row>
    <row r="918" spans="2:2">
      <c r="B918" s="219"/>
    </row>
    <row r="919" spans="2:2">
      <c r="B919" s="219"/>
    </row>
    <row r="920" spans="2:2">
      <c r="B920" s="219"/>
    </row>
    <row r="921" spans="2:2">
      <c r="B921" s="219"/>
    </row>
    <row r="922" spans="2:2">
      <c r="B922" s="219"/>
    </row>
    <row r="923" spans="2:2">
      <c r="B923" s="219"/>
    </row>
    <row r="924" spans="2:2">
      <c r="B924" s="219"/>
    </row>
    <row r="925" spans="2:2">
      <c r="B925" s="219"/>
    </row>
    <row r="926" spans="2:2">
      <c r="B926" s="219"/>
    </row>
    <row r="927" spans="2:2">
      <c r="B927" s="219"/>
    </row>
    <row r="928" spans="2:2">
      <c r="B928" s="219"/>
    </row>
    <row r="929" spans="2:2">
      <c r="B929" s="219"/>
    </row>
    <row r="930" spans="2:2">
      <c r="B930" s="219"/>
    </row>
    <row r="931" spans="2:2">
      <c r="B931" s="219"/>
    </row>
    <row r="932" spans="2:2">
      <c r="B932" s="219"/>
    </row>
    <row r="933" spans="2:2">
      <c r="B933" s="219"/>
    </row>
    <row r="934" spans="2:2">
      <c r="B934" s="219"/>
    </row>
    <row r="935" spans="2:2">
      <c r="B935" s="219"/>
    </row>
    <row r="936" spans="2:2">
      <c r="B936" s="219"/>
    </row>
    <row r="937" spans="2:2">
      <c r="B937" s="219"/>
    </row>
    <row r="938" spans="2:2">
      <c r="B938" s="219"/>
    </row>
    <row r="939" spans="2:2">
      <c r="B939" s="219"/>
    </row>
    <row r="940" spans="2:2">
      <c r="B940" s="219"/>
    </row>
    <row r="941" spans="2:2">
      <c r="B941" s="219"/>
    </row>
    <row r="942" spans="2:2">
      <c r="B942" s="219"/>
    </row>
    <row r="943" spans="2:2">
      <c r="B943" s="219"/>
    </row>
    <row r="944" spans="2:2">
      <c r="B944" s="219"/>
    </row>
    <row r="945" spans="2:2">
      <c r="B945" s="219"/>
    </row>
    <row r="946" spans="2:2">
      <c r="B946" s="219"/>
    </row>
    <row r="947" spans="2:2">
      <c r="B947" s="219"/>
    </row>
    <row r="948" spans="2:2">
      <c r="B948" s="219"/>
    </row>
    <row r="949" spans="2:2">
      <c r="B949" s="219"/>
    </row>
    <row r="950" spans="2:2">
      <c r="B950" s="219"/>
    </row>
    <row r="951" spans="2:2">
      <c r="B951" s="219"/>
    </row>
    <row r="952" spans="2:2">
      <c r="B952" s="219"/>
    </row>
    <row r="953" spans="2:2">
      <c r="B953" s="219"/>
    </row>
    <row r="954" spans="2:2">
      <c r="B954" s="219"/>
    </row>
    <row r="955" spans="2:2">
      <c r="B955" s="219"/>
    </row>
    <row r="956" spans="2:2">
      <c r="B956" s="219"/>
    </row>
    <row r="957" spans="2:2">
      <c r="B957" s="219"/>
    </row>
    <row r="958" spans="2:2">
      <c r="B958" s="219"/>
    </row>
    <row r="959" spans="2:2">
      <c r="B959" s="219"/>
    </row>
    <row r="960" spans="2:2">
      <c r="B960" s="219"/>
    </row>
    <row r="961" spans="2:2">
      <c r="B961" s="219"/>
    </row>
    <row r="962" spans="2:2">
      <c r="B962" s="219"/>
    </row>
    <row r="963" spans="2:2">
      <c r="B963" s="219"/>
    </row>
    <row r="964" spans="2:2">
      <c r="B964" s="219"/>
    </row>
    <row r="965" spans="2:2">
      <c r="B965" s="219"/>
    </row>
    <row r="966" spans="2:2">
      <c r="B966" s="219"/>
    </row>
    <row r="967" spans="2:2">
      <c r="B967" s="219"/>
    </row>
    <row r="968" spans="2:2">
      <c r="B968" s="219"/>
    </row>
    <row r="969" spans="2:2">
      <c r="B969" s="219"/>
    </row>
    <row r="970" spans="2:2">
      <c r="B970" s="219"/>
    </row>
    <row r="971" spans="2:2">
      <c r="B971" s="219"/>
    </row>
    <row r="972" spans="2:2">
      <c r="B972" s="219"/>
    </row>
    <row r="973" spans="2:2">
      <c r="B973" s="219"/>
    </row>
    <row r="974" spans="2:2">
      <c r="B974" s="219"/>
    </row>
    <row r="975" spans="2:2">
      <c r="B975" s="219"/>
    </row>
    <row r="976" spans="2:2">
      <c r="B976" s="219"/>
    </row>
    <row r="977" spans="2:2">
      <c r="B977" s="219"/>
    </row>
    <row r="978" spans="2:2">
      <c r="B978" s="219"/>
    </row>
    <row r="979" spans="2:2">
      <c r="B979" s="219"/>
    </row>
    <row r="980" spans="2:2">
      <c r="B980" s="219"/>
    </row>
    <row r="981" spans="2:2">
      <c r="B981" s="219"/>
    </row>
    <row r="982" spans="2:2">
      <c r="B982" s="219"/>
    </row>
    <row r="983" spans="2:2">
      <c r="B983" s="219"/>
    </row>
    <row r="984" spans="2:2">
      <c r="B984" s="219"/>
    </row>
    <row r="985" spans="2:2">
      <c r="B985" s="219"/>
    </row>
    <row r="986" spans="2:2">
      <c r="B986" s="219"/>
    </row>
    <row r="987" spans="2:2">
      <c r="B987" s="219"/>
    </row>
  </sheetData>
  <mergeCells count="4">
    <mergeCell ref="A1:B1"/>
    <mergeCell ref="A31:B31"/>
    <mergeCell ref="A45:B45"/>
    <mergeCell ref="A68:B68"/>
  </mergeCells>
  <hyperlinks>
    <hyperlink ref="A9" r:id="rId1" xr:uid="{00000000-0004-0000-0400-000000000000}"/>
    <hyperlink ref="A11" r:id="rId2" location="place=geoId%2F0200650&amp;statsVar=Count_Person__Count_HousingUnit__Count_HousingUnit_OccupiedHousingUnit&amp;chart=%7B%22count-none%22%3A%7B%22pc%22%3Afalse%2C%22delta%22%3Afalse%7D%7D" xr:uid="{00000000-0004-0000-0400-000001000000}"/>
    <hyperlink ref="A12" r:id="rId3" location="place=geoId%2F0200650&amp;statsVar=Count_Person__Count_HousingUnit__Count_HousingUnit_OccupiedHousingUnit&amp;chart=%7B%22count-none%22%3A%7B%22pc%22%3Afalse%2C%22delta%22%3Afalse%7D%7D" xr:uid="{00000000-0004-0000-0400-000002000000}"/>
    <hyperlink ref="A36" r:id="rId4" xr:uid="{00000000-0004-0000-0400-000003000000}"/>
    <hyperlink ref="A40" r:id="rId5" xr:uid="{00000000-0004-0000-0400-000004000000}"/>
    <hyperlink ref="A42" r:id="rId6" xr:uid="{00000000-0004-0000-0400-000005000000}"/>
    <hyperlink ref="A52" r:id="rId7" location="place=geoId%2F0200650&amp;statsVar=Count_Person__Count_HousingUnit__Count_HousingUnit_OccupiedHousingUnit&amp;chart=%7B%22count-none%22%3A%7B%22pc%22%3Afalse%2C%22delta%22%3Afalse%7D%7D" xr:uid="{00000000-0004-0000-0400-000006000000}"/>
    <hyperlink ref="A53" r:id="rId8" location="place=geoId%2F0200650&amp;statsVar=Count_Person__Count_HousingUnit__Count_HousingUnit_OccupiedHousingUnit&amp;chart=%7B%22count-none%22%3A%7B%22pc%22%3Afalse%2C%22delta%22%3Afalse%7D%7D" xr:uid="{00000000-0004-0000-0400-000007000000}"/>
  </hyperlinks>
  <pageMargins left="0.7" right="0.7" top="0.75" bottom="0.75" header="0" footer="0"/>
  <pageSetup scale="48"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Community Breakdown</vt:lpstr>
      <vt:lpstr>Region Breakdown</vt:lpstr>
      <vt:lpstr>Subregion Breakdown</vt:lpstr>
      <vt:lpstr>GHG Calculations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Brennen</dc:creator>
  <cp:lastModifiedBy>Andy Romanoff</cp:lastModifiedBy>
  <dcterms:created xsi:type="dcterms:W3CDTF">2024-03-05T17:52:35Z</dcterms:created>
  <dcterms:modified xsi:type="dcterms:W3CDTF">2024-03-29T20:51:30Z</dcterms:modified>
</cp:coreProperties>
</file>