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Override PartName="/xl/commentsmeta0" ContentType="application/binary"/>
  <Override PartName="/xl/commentsmeta1" ContentType="application/binary"/>
  <Override PartName="/xl/commentsmeta2"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1"/>
  <workbookPr/>
  <mc:AlternateContent xmlns:mc="http://schemas.openxmlformats.org/markup-compatibility/2006">
    <mc:Choice Requires="x15">
      <x15ac:absPath xmlns:x15ac="http://schemas.microsoft.com/office/spreadsheetml/2010/11/ac" url="https://sustainablestrategies-my.sharepoint.com/personal/debra_figueroa_strategiesdc_com/Documents/CPRG/Application_/Technical Spreadhseets /"/>
    </mc:Choice>
  </mc:AlternateContent>
  <xr:revisionPtr revIDLastSave="0" documentId="8_{60A869B8-FB7C-AA46-86F4-B8E3297043E4}" xr6:coauthVersionLast="47" xr6:coauthVersionMax="47" xr10:uidLastSave="{00000000-0000-0000-0000-000000000000}"/>
  <bookViews>
    <workbookView xWindow="0" yWindow="760" windowWidth="30240" windowHeight="17000" xr2:uid="{00000000-000D-0000-FFFF-FFFF00000000}"/>
  </bookViews>
  <sheets>
    <sheet name="Cost per MT CO2e" sheetId="1" r:id="rId1"/>
    <sheet name="Cost per MT CO2e (w backpacks)" sheetId="2" r:id="rId2"/>
    <sheet name="MT CO2e per Year" sheetId="3" r:id="rId3"/>
    <sheet name="CO2e Emissions Rates" sheetId="4"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2">
      <go:sheetsCustomData xmlns:go="http://customooxmlschemas.google.com/" r:id="rId8" roundtripDataChecksum="EzhFF63eyTuXntPoRegQawFd7yOI4XrM69go0bdkWeo="/>
    </ext>
  </extLst>
</workbook>
</file>

<file path=xl/calcChain.xml><?xml version="1.0" encoding="utf-8"?>
<calcChain xmlns="http://schemas.openxmlformats.org/spreadsheetml/2006/main">
  <c r="AA32" i="4" l="1"/>
  <c r="Y32" i="4"/>
  <c r="W32" i="4"/>
  <c r="U32" i="4"/>
  <c r="S32" i="4"/>
  <c r="Q32" i="4"/>
  <c r="O32" i="4"/>
  <c r="M32" i="4"/>
  <c r="K32" i="4"/>
  <c r="I32" i="4"/>
  <c r="G32" i="4"/>
  <c r="E32" i="4"/>
  <c r="C32" i="4"/>
  <c r="AD32" i="4" s="1"/>
  <c r="B17" i="4"/>
  <c r="B16" i="4"/>
  <c r="C15" i="4"/>
  <c r="C14" i="4"/>
  <c r="C13" i="4"/>
  <c r="C12" i="4"/>
  <c r="C11" i="4"/>
  <c r="C10" i="4"/>
  <c r="C9" i="4"/>
  <c r="C8" i="4"/>
  <c r="C7" i="4"/>
  <c r="C6" i="4"/>
  <c r="C5" i="4"/>
  <c r="C4" i="4"/>
  <c r="C3" i="4"/>
  <c r="C16" i="4" s="1"/>
  <c r="C2" i="4"/>
  <c r="C14" i="3"/>
  <c r="C4" i="3"/>
  <c r="E26" i="2"/>
  <c r="F26" i="2" s="1"/>
  <c r="H26" i="2" s="1"/>
  <c r="D26" i="2"/>
  <c r="G26" i="2" s="1"/>
  <c r="I26" i="2" s="1"/>
  <c r="G25" i="2"/>
  <c r="I25" i="2" s="1"/>
  <c r="F25" i="2"/>
  <c r="H25" i="2" s="1"/>
  <c r="G23" i="2"/>
  <c r="I23" i="2" s="1"/>
  <c r="F23" i="2"/>
  <c r="H23" i="2" s="1"/>
  <c r="G21" i="2"/>
  <c r="I21" i="2" s="1"/>
  <c r="F21" i="2"/>
  <c r="H21" i="2" s="1"/>
  <c r="E21" i="2"/>
  <c r="D21" i="2"/>
  <c r="C32" i="2" s="1"/>
  <c r="I6" i="2"/>
  <c r="H6" i="2"/>
  <c r="G6" i="2"/>
  <c r="F6" i="2"/>
  <c r="H4" i="2"/>
  <c r="G4" i="2"/>
  <c r="F4" i="2"/>
  <c r="D108" i="1"/>
  <c r="C108" i="1"/>
  <c r="G104" i="1"/>
  <c r="E104" i="1"/>
  <c r="H98" i="1"/>
  <c r="G98" i="1"/>
  <c r="F98" i="1"/>
  <c r="E98" i="1"/>
  <c r="D98" i="1"/>
  <c r="C98" i="1"/>
  <c r="H88" i="1"/>
  <c r="G88" i="1"/>
  <c r="F88" i="1"/>
  <c r="E88" i="1"/>
  <c r="D88" i="1"/>
  <c r="C88" i="1"/>
  <c r="H78" i="1"/>
  <c r="G78" i="1"/>
  <c r="F78" i="1"/>
  <c r="E78" i="1"/>
  <c r="D78" i="1"/>
  <c r="C78" i="1"/>
  <c r="H67" i="1"/>
  <c r="G67" i="1"/>
  <c r="F67" i="1"/>
  <c r="E67" i="1"/>
  <c r="D67" i="1"/>
  <c r="G108" i="1" s="1"/>
  <c r="C67" i="1"/>
  <c r="E108" i="1" s="1"/>
  <c r="G65" i="1"/>
  <c r="J63" i="1"/>
  <c r="I63" i="1"/>
  <c r="D32" i="1"/>
  <c r="E32" i="1" s="1"/>
  <c r="C32" i="1"/>
  <c r="C33" i="1" s="1"/>
  <c r="G26" i="1"/>
  <c r="I26" i="1" s="1"/>
  <c r="F26" i="1"/>
  <c r="H26" i="1" s="1"/>
  <c r="E26" i="1"/>
  <c r="D26" i="1"/>
  <c r="C25" i="1"/>
  <c r="F23" i="1"/>
  <c r="H23" i="1" s="1"/>
  <c r="C2" i="3" s="1"/>
  <c r="C23" i="1"/>
  <c r="G23" i="1" s="1"/>
  <c r="I23" i="1" s="1"/>
  <c r="G21" i="1"/>
  <c r="I21" i="1" s="1"/>
  <c r="F21" i="1"/>
  <c r="H21" i="1" s="1"/>
  <c r="E21" i="1"/>
  <c r="D21" i="1"/>
  <c r="C21" i="1"/>
  <c r="E17" i="1"/>
  <c r="G90" i="1" s="1"/>
  <c r="G96" i="1" s="1"/>
  <c r="G8" i="1"/>
  <c r="G59" i="1" s="1"/>
  <c r="F8" i="1"/>
  <c r="I6" i="1"/>
  <c r="G6" i="1"/>
  <c r="F6" i="1"/>
  <c r="H6" i="1" s="1"/>
  <c r="H4" i="1"/>
  <c r="D17" i="1" s="1"/>
  <c r="G4" i="1"/>
  <c r="F4" i="1"/>
  <c r="C32" i="3" l="1"/>
  <c r="C30" i="3"/>
  <c r="C28" i="3"/>
  <c r="C26" i="3"/>
  <c r="C24" i="3"/>
  <c r="C22" i="3"/>
  <c r="C20" i="3"/>
  <c r="C29" i="3"/>
  <c r="C31" i="3"/>
  <c r="C27" i="3"/>
  <c r="C25" i="3"/>
  <c r="C23" i="3"/>
  <c r="C21" i="3"/>
  <c r="C19" i="3"/>
  <c r="F90" i="1"/>
  <c r="F96" i="1" s="1"/>
  <c r="D18" i="1"/>
  <c r="F9" i="1"/>
  <c r="F59" i="1"/>
  <c r="F65" i="1" s="1"/>
  <c r="D32" i="2"/>
  <c r="B14" i="3"/>
  <c r="B12" i="3"/>
  <c r="B10" i="3"/>
  <c r="B8" i="3"/>
  <c r="B6" i="3"/>
  <c r="B4" i="3"/>
  <c r="B2" i="3"/>
  <c r="B15" i="3"/>
  <c r="B13" i="3"/>
  <c r="B11" i="3"/>
  <c r="B9" i="3"/>
  <c r="B7" i="3"/>
  <c r="B5" i="3"/>
  <c r="B3" i="3"/>
  <c r="E15" i="3"/>
  <c r="E13" i="3"/>
  <c r="E11" i="3"/>
  <c r="E9" i="3"/>
  <c r="E7" i="3"/>
  <c r="E5" i="3"/>
  <c r="E3" i="3"/>
  <c r="E14" i="3"/>
  <c r="E12" i="3"/>
  <c r="E10" i="3"/>
  <c r="E8" i="3"/>
  <c r="E6" i="3"/>
  <c r="E4" i="3"/>
  <c r="E2" i="3"/>
  <c r="G9" i="1"/>
  <c r="B31" i="3"/>
  <c r="B29" i="3"/>
  <c r="B27" i="3"/>
  <c r="B25" i="3"/>
  <c r="B23" i="3"/>
  <c r="B21" i="3"/>
  <c r="B19" i="3"/>
  <c r="B32" i="3"/>
  <c r="B30" i="3"/>
  <c r="B28" i="3"/>
  <c r="B26" i="3"/>
  <c r="B24" i="3"/>
  <c r="B22" i="3"/>
  <c r="B20" i="3"/>
  <c r="E32" i="3"/>
  <c r="E30" i="3"/>
  <c r="E28" i="3"/>
  <c r="E26" i="3"/>
  <c r="E24" i="3"/>
  <c r="E22" i="3"/>
  <c r="E20" i="3"/>
  <c r="E31" i="3"/>
  <c r="E29" i="3"/>
  <c r="E27" i="3"/>
  <c r="E25" i="3"/>
  <c r="E23" i="3"/>
  <c r="E21" i="3"/>
  <c r="E19" i="3"/>
  <c r="C17" i="4"/>
  <c r="C33" i="2"/>
  <c r="C17" i="1"/>
  <c r="I14" i="1"/>
  <c r="G11" i="1"/>
  <c r="E8" i="1"/>
  <c r="H14" i="1"/>
  <c r="F11" i="1"/>
  <c r="F70" i="1" s="1"/>
  <c r="F76" i="1" s="1"/>
  <c r="D8" i="1"/>
  <c r="G14" i="1"/>
  <c r="E11" i="1"/>
  <c r="C8" i="1"/>
  <c r="H17" i="1"/>
  <c r="F14" i="1"/>
  <c r="D11" i="1"/>
  <c r="G17" i="1"/>
  <c r="E14" i="1"/>
  <c r="C11" i="1"/>
  <c r="F17" i="1"/>
  <c r="D14" i="1"/>
  <c r="H8" i="1"/>
  <c r="H11" i="1"/>
  <c r="E18" i="1"/>
  <c r="C15" i="3"/>
  <c r="C13" i="3"/>
  <c r="C11" i="3"/>
  <c r="C9" i="3"/>
  <c r="C7" i="3"/>
  <c r="C5" i="3"/>
  <c r="C3" i="3"/>
  <c r="C17" i="3" s="1"/>
  <c r="F32" i="1"/>
  <c r="E33" i="1"/>
  <c r="E60" i="1"/>
  <c r="E61" i="1" s="1"/>
  <c r="C8" i="2"/>
  <c r="C6" i="3"/>
  <c r="I11" i="1"/>
  <c r="C8" i="3"/>
  <c r="G25" i="1"/>
  <c r="I25" i="1" s="1"/>
  <c r="F25" i="1"/>
  <c r="H25" i="1" s="1"/>
  <c r="C10" i="3"/>
  <c r="C14" i="1"/>
  <c r="C12" i="3"/>
  <c r="C60" i="1"/>
  <c r="I67" i="1"/>
  <c r="D60" i="1"/>
  <c r="D61" i="1" s="1"/>
  <c r="J67" i="1"/>
  <c r="D33" i="1"/>
  <c r="AC32" i="4"/>
  <c r="D32" i="3" l="1"/>
  <c r="D30" i="3"/>
  <c r="D28" i="3"/>
  <c r="D26" i="3"/>
  <c r="D24" i="3"/>
  <c r="D22" i="3"/>
  <c r="D20" i="3"/>
  <c r="D31" i="3"/>
  <c r="D29" i="3"/>
  <c r="D27" i="3"/>
  <c r="D25" i="3"/>
  <c r="D23" i="3"/>
  <c r="D21" i="3"/>
  <c r="D19" i="3"/>
  <c r="C100" i="1"/>
  <c r="C106" i="1" s="1"/>
  <c r="G18" i="1"/>
  <c r="C16" i="3"/>
  <c r="F33" i="1"/>
  <c r="F60" i="1"/>
  <c r="F61" i="1" s="1"/>
  <c r="G32" i="1"/>
  <c r="D70" i="1"/>
  <c r="D76" i="1" s="1"/>
  <c r="D12" i="1"/>
  <c r="H15" i="1"/>
  <c r="C90" i="1"/>
  <c r="C96" i="1" s="1"/>
  <c r="E34" i="3"/>
  <c r="E33" i="3"/>
  <c r="C61" i="1"/>
  <c r="C80" i="1"/>
  <c r="C86" i="1" s="1"/>
  <c r="I12" i="1"/>
  <c r="H12" i="1"/>
  <c r="H70" i="1"/>
  <c r="H76" i="1" s="1"/>
  <c r="F15" i="1"/>
  <c r="G80" i="1"/>
  <c r="G86" i="1" s="1"/>
  <c r="E9" i="1"/>
  <c r="E59" i="1"/>
  <c r="E65" i="1" s="1"/>
  <c r="E32" i="2"/>
  <c r="D33" i="2"/>
  <c r="C34" i="3"/>
  <c r="C33" i="3"/>
  <c r="H59" i="1"/>
  <c r="H65" i="1" s="1"/>
  <c r="H9" i="1"/>
  <c r="D100" i="1"/>
  <c r="D106" i="1" s="1"/>
  <c r="H18" i="1"/>
  <c r="G12" i="1"/>
  <c r="G70" i="1"/>
  <c r="G76" i="1" s="1"/>
  <c r="B16" i="3"/>
  <c r="B17" i="3"/>
  <c r="D80" i="1"/>
  <c r="D86" i="1" s="1"/>
  <c r="C15" i="1"/>
  <c r="H90" i="1"/>
  <c r="H96" i="1" s="1"/>
  <c r="F18" i="1"/>
  <c r="E70" i="1"/>
  <c r="E76" i="1" s="1"/>
  <c r="F12" i="1"/>
  <c r="E12" i="1"/>
  <c r="E90" i="1"/>
  <c r="E96" i="1" s="1"/>
  <c r="C18" i="1"/>
  <c r="E80" i="1"/>
  <c r="E86" i="1" s="1"/>
  <c r="D15" i="1"/>
  <c r="C9" i="1"/>
  <c r="I8" i="1"/>
  <c r="C59" i="1"/>
  <c r="I15" i="1"/>
  <c r="D90" i="1"/>
  <c r="D96" i="1" s="1"/>
  <c r="D64" i="1"/>
  <c r="C70" i="1"/>
  <c r="C76" i="1" s="1"/>
  <c r="C12" i="1"/>
  <c r="G15" i="1"/>
  <c r="H80" i="1"/>
  <c r="H86" i="1" s="1"/>
  <c r="B33" i="3"/>
  <c r="B34" i="3"/>
  <c r="E17" i="3"/>
  <c r="E16" i="3"/>
  <c r="D66" i="1"/>
  <c r="D62" i="1"/>
  <c r="D15" i="3"/>
  <c r="D13" i="3"/>
  <c r="D11" i="3"/>
  <c r="D9" i="3"/>
  <c r="D7" i="3"/>
  <c r="D5" i="3"/>
  <c r="D3" i="3"/>
  <c r="D14" i="3"/>
  <c r="D12" i="3"/>
  <c r="D10" i="3"/>
  <c r="D8" i="3"/>
  <c r="D6" i="3"/>
  <c r="D4" i="3"/>
  <c r="D2" i="3"/>
  <c r="E8" i="2"/>
  <c r="E9" i="2" s="1"/>
  <c r="D8" i="2"/>
  <c r="D9" i="2" s="1"/>
  <c r="C9" i="2"/>
  <c r="H8" i="2"/>
  <c r="G8" i="2"/>
  <c r="G9" i="2" s="1"/>
  <c r="F8" i="2"/>
  <c r="F9" i="2" s="1"/>
  <c r="E66" i="1"/>
  <c r="E62" i="1"/>
  <c r="E64" i="1" s="1"/>
  <c r="F80" i="1"/>
  <c r="F86" i="1" s="1"/>
  <c r="E15" i="1"/>
  <c r="D9" i="1"/>
  <c r="D59" i="1"/>
  <c r="D65" i="1" s="1"/>
  <c r="C66" i="1" l="1"/>
  <c r="C62" i="1"/>
  <c r="D34" i="3"/>
  <c r="D33" i="3"/>
  <c r="F66" i="1"/>
  <c r="F62" i="1"/>
  <c r="D41" i="1"/>
  <c r="H35" i="1"/>
  <c r="G33" i="1"/>
  <c r="G60" i="1"/>
  <c r="C41" i="1"/>
  <c r="I38" i="1"/>
  <c r="G35" i="1"/>
  <c r="H38" i="1"/>
  <c r="F35" i="1"/>
  <c r="G38" i="1"/>
  <c r="E35" i="1"/>
  <c r="H41" i="1"/>
  <c r="F38" i="1"/>
  <c r="D35" i="1"/>
  <c r="G41" i="1"/>
  <c r="E38" i="1"/>
  <c r="C35" i="1"/>
  <c r="E41" i="1"/>
  <c r="H32" i="1"/>
  <c r="D38" i="1"/>
  <c r="C38" i="1"/>
  <c r="I35" i="1"/>
  <c r="F41" i="1"/>
  <c r="H9" i="2"/>
  <c r="H11" i="2"/>
  <c r="H12" i="2" s="1"/>
  <c r="D14" i="2"/>
  <c r="D15" i="2" s="1"/>
  <c r="C17" i="2"/>
  <c r="C18" i="2" s="1"/>
  <c r="H17" i="2"/>
  <c r="H18" i="2" s="1"/>
  <c r="E17" i="2"/>
  <c r="E18" i="2" s="1"/>
  <c r="D17" i="2"/>
  <c r="D18" i="2" s="1"/>
  <c r="F14" i="2"/>
  <c r="F15" i="2" s="1"/>
  <c r="C14" i="2"/>
  <c r="C15" i="2" s="1"/>
  <c r="G11" i="2"/>
  <c r="G12" i="2" s="1"/>
  <c r="I14" i="2"/>
  <c r="I15" i="2" s="1"/>
  <c r="D11" i="2"/>
  <c r="D12" i="2" s="1"/>
  <c r="I11" i="2"/>
  <c r="I12" i="2" s="1"/>
  <c r="H14" i="2"/>
  <c r="H15" i="2" s="1"/>
  <c r="G17" i="2"/>
  <c r="G18" i="2" s="1"/>
  <c r="F11" i="2"/>
  <c r="E14" i="2"/>
  <c r="E15" i="2" s="1"/>
  <c r="G14" i="2"/>
  <c r="G15" i="2" s="1"/>
  <c r="C11" i="2"/>
  <c r="E11" i="2"/>
  <c r="F17" i="2"/>
  <c r="F18" i="2" s="1"/>
  <c r="I8" i="2"/>
  <c r="D52" i="2" s="1"/>
  <c r="F52" i="2" s="1"/>
  <c r="G100" i="1"/>
  <c r="E100" i="1"/>
  <c r="C65" i="1"/>
  <c r="J59" i="1"/>
  <c r="I59" i="1"/>
  <c r="F64" i="1"/>
  <c r="F32" i="2"/>
  <c r="E33" i="2"/>
  <c r="D17" i="3"/>
  <c r="D16" i="3"/>
  <c r="I9" i="2"/>
  <c r="E52" i="2" s="1"/>
  <c r="I17" i="1"/>
  <c r="D52" i="1"/>
  <c r="I9" i="1"/>
  <c r="I32" i="1"/>
  <c r="I36" i="1" l="1"/>
  <c r="C81" i="1"/>
  <c r="C82" i="1" s="1"/>
  <c r="C42" i="1"/>
  <c r="E91" i="1"/>
  <c r="E92" i="1" s="1"/>
  <c r="E52" i="1"/>
  <c r="I18" i="1"/>
  <c r="G32" i="2"/>
  <c r="F33" i="2"/>
  <c r="E81" i="1"/>
  <c r="E82" i="1" s="1"/>
  <c r="D39" i="1"/>
  <c r="D101" i="1"/>
  <c r="D102" i="1" s="1"/>
  <c r="H42" i="1"/>
  <c r="G61" i="1"/>
  <c r="I60" i="1"/>
  <c r="D71" i="1"/>
  <c r="D72" i="1" s="1"/>
  <c r="D36" i="1"/>
  <c r="C39" i="1"/>
  <c r="D81" i="1"/>
  <c r="D82" i="1" s="1"/>
  <c r="F52" i="1"/>
  <c r="F12" i="2"/>
  <c r="E12" i="2"/>
  <c r="H60" i="1"/>
  <c r="H61" i="1" s="1"/>
  <c r="H33" i="1"/>
  <c r="E71" i="1"/>
  <c r="E72" i="1" s="1"/>
  <c r="E36" i="1"/>
  <c r="I33" i="1"/>
  <c r="I17" i="2"/>
  <c r="C12" i="2"/>
  <c r="E42" i="1"/>
  <c r="G91" i="1"/>
  <c r="G92" i="1" s="1"/>
  <c r="H81" i="1"/>
  <c r="H82" i="1" s="1"/>
  <c r="G39" i="1"/>
  <c r="C64" i="1"/>
  <c r="I39" i="1"/>
  <c r="D91" i="1"/>
  <c r="D92" i="1" s="1"/>
  <c r="C71" i="1"/>
  <c r="C72" i="1" s="1"/>
  <c r="C36" i="1"/>
  <c r="F71" i="1"/>
  <c r="F72" i="1" s="1"/>
  <c r="F36" i="1"/>
  <c r="D42" i="1"/>
  <c r="F91" i="1"/>
  <c r="F92" i="1" s="1"/>
  <c r="D53" i="1"/>
  <c r="F53" i="1" s="1"/>
  <c r="I41" i="1"/>
  <c r="G106" i="1"/>
  <c r="E106" i="1"/>
  <c r="J65" i="1"/>
  <c r="I65" i="1"/>
  <c r="F81" i="1"/>
  <c r="F82" i="1" s="1"/>
  <c r="E39" i="1"/>
  <c r="H39" i="1"/>
  <c r="C91" i="1"/>
  <c r="C92" i="1" s="1"/>
  <c r="G81" i="1"/>
  <c r="G82" i="1" s="1"/>
  <c r="F39" i="1"/>
  <c r="H71" i="1"/>
  <c r="H72" i="1" s="1"/>
  <c r="H36" i="1"/>
  <c r="H91" i="1"/>
  <c r="H92" i="1" s="1"/>
  <c r="F42" i="1"/>
  <c r="G42" i="1"/>
  <c r="C101" i="1"/>
  <c r="C102" i="1" s="1"/>
  <c r="G71" i="1"/>
  <c r="G72" i="1" s="1"/>
  <c r="G36" i="1"/>
  <c r="C75" i="1" l="1"/>
  <c r="D83" i="1"/>
  <c r="D87" i="1"/>
  <c r="G101" i="1"/>
  <c r="C107" i="1"/>
  <c r="C103" i="1"/>
  <c r="C105" i="1" s="1"/>
  <c r="F75" i="1"/>
  <c r="I42" i="1"/>
  <c r="E53" i="1"/>
  <c r="C73" i="1"/>
  <c r="C77" i="1"/>
  <c r="H75" i="1"/>
  <c r="H87" i="1"/>
  <c r="H83" i="1"/>
  <c r="E77" i="1"/>
  <c r="E73" i="1"/>
  <c r="E97" i="1"/>
  <c r="E93" i="1"/>
  <c r="C93" i="1"/>
  <c r="C95" i="1" s="1"/>
  <c r="C97" i="1"/>
  <c r="G41" i="2"/>
  <c r="G42" i="2" s="1"/>
  <c r="E38" i="2"/>
  <c r="E39" i="2" s="1"/>
  <c r="C35" i="2"/>
  <c r="C36" i="2" s="1"/>
  <c r="F41" i="2"/>
  <c r="F42" i="2" s="1"/>
  <c r="D38" i="2"/>
  <c r="D39" i="2" s="1"/>
  <c r="H32" i="2"/>
  <c r="H33" i="2" s="1"/>
  <c r="I33" i="2" s="1"/>
  <c r="E53" i="2" s="1"/>
  <c r="E41" i="2"/>
  <c r="E42" i="2" s="1"/>
  <c r="C38" i="2"/>
  <c r="C39" i="2" s="1"/>
  <c r="I35" i="2"/>
  <c r="I36" i="2" s="1"/>
  <c r="D41" i="2"/>
  <c r="D42" i="2" s="1"/>
  <c r="H35" i="2"/>
  <c r="H36" i="2" s="1"/>
  <c r="G33" i="2"/>
  <c r="C41" i="2"/>
  <c r="C42" i="2" s="1"/>
  <c r="I38" i="2"/>
  <c r="I39" i="2" s="1"/>
  <c r="G35" i="2"/>
  <c r="G36" i="2" s="1"/>
  <c r="H38" i="2"/>
  <c r="H39" i="2" s="1"/>
  <c r="F35" i="2"/>
  <c r="F36" i="2" s="1"/>
  <c r="G38" i="2"/>
  <c r="G39" i="2" s="1"/>
  <c r="E35" i="2"/>
  <c r="E36" i="2" s="1"/>
  <c r="F38" i="2"/>
  <c r="F39" i="2" s="1"/>
  <c r="D35" i="2"/>
  <c r="D36" i="2" s="1"/>
  <c r="H41" i="2"/>
  <c r="H42" i="2" s="1"/>
  <c r="I32" i="2"/>
  <c r="F83" i="1"/>
  <c r="F85" i="1" s="1"/>
  <c r="F87" i="1"/>
  <c r="H85" i="1"/>
  <c r="H77" i="1"/>
  <c r="H73" i="1"/>
  <c r="G97" i="1"/>
  <c r="G93" i="1"/>
  <c r="H64" i="1"/>
  <c r="D75" i="1"/>
  <c r="D107" i="1"/>
  <c r="D103" i="1"/>
  <c r="D105" i="1" s="1"/>
  <c r="E95" i="1"/>
  <c r="F73" i="1"/>
  <c r="F77" i="1"/>
  <c r="H97" i="1"/>
  <c r="H93" i="1"/>
  <c r="H95" i="1" s="1"/>
  <c r="E75" i="1"/>
  <c r="G62" i="1"/>
  <c r="G66" i="1"/>
  <c r="G102" i="1"/>
  <c r="E102" i="1"/>
  <c r="J61" i="1"/>
  <c r="I61" i="1"/>
  <c r="D93" i="1"/>
  <c r="D95" i="1" s="1"/>
  <c r="D97" i="1"/>
  <c r="F97" i="1"/>
  <c r="F93" i="1"/>
  <c r="F95" i="1" s="1"/>
  <c r="G95" i="1"/>
  <c r="H62" i="1"/>
  <c r="H66" i="1"/>
  <c r="D73" i="1"/>
  <c r="D77" i="1"/>
  <c r="C83" i="1"/>
  <c r="C87" i="1"/>
  <c r="E101" i="1"/>
  <c r="D85" i="1"/>
  <c r="G77" i="1"/>
  <c r="G73" i="1"/>
  <c r="G75" i="1" s="1"/>
  <c r="G87" i="1"/>
  <c r="G83" i="1"/>
  <c r="G85" i="1" s="1"/>
  <c r="I18" i="2"/>
  <c r="J60" i="1"/>
  <c r="E87" i="1"/>
  <c r="E83" i="1"/>
  <c r="E85" i="1" s="1"/>
  <c r="C85" i="1"/>
  <c r="D53" i="2" l="1"/>
  <c r="F53" i="2" s="1"/>
  <c r="I41" i="2"/>
  <c r="I66" i="1"/>
  <c r="G107" i="1"/>
  <c r="J66" i="1"/>
  <c r="E107" i="1"/>
  <c r="I62" i="1"/>
  <c r="E103" i="1"/>
  <c r="J62" i="1"/>
  <c r="G64" i="1"/>
  <c r="G103" i="1"/>
  <c r="I42" i="2"/>
  <c r="J64" i="1" l="1"/>
  <c r="I64" i="1"/>
  <c r="G105" i="1"/>
  <c r="E10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
  </authors>
  <commentList>
    <comment ref="H21" authorId="0" shapeId="0" xr:uid="{00000000-0006-0000-0000-000002000000}">
      <text>
        <r>
          <rPr>
            <sz val="11"/>
            <color theme="1"/>
            <rFont val="aptos narrow"/>
            <scheme val="minor"/>
          </rPr>
          <t>======
ID#AAABKfDlHPk
tc={BB2867BE-0F05-4CAB-BE41-FC084B36CC68}    (2024-03-30 02:46:34)
[Threaded comment]
Your version of Excel allows you to read this threaded comment; however, any edits to it will get removed if the file is opened in a newer version of Excel. Learn more: https://go.microsoft.com/fwlink/?linkid=870924
Comment:
    This conversion from square feet to kWh/year is based on CBECS EUI data. It is the same conversion we have already been utilizing in our cost estimations.</t>
        </r>
      </text>
    </comment>
    <comment ref="I21" authorId="0" shapeId="0" xr:uid="{00000000-0006-0000-0000-000006000000}">
      <text>
        <r>
          <rPr>
            <sz val="11"/>
            <color theme="1"/>
            <rFont val="aptos narrow"/>
            <scheme val="minor"/>
          </rPr>
          <t>======
ID#AAABKfDlHO0
tc={C4A837C0-3CE8-453B-BD00-C7D97F7650B4}    (2024-03-30 02:46:33)
[Threaded comment]
Your version of Excel allows you to read this threaded comment; however, any edits to it will get removed if the file is opened in a newer version of Excel. Learn more: https://go.microsoft.com/fwlink/?linkid=870924
Comment:
    This conversion from square feet to kWh/year is based on CBECS EUI data. It is the same conversion we have already been utilizing in our cost estimations.</t>
        </r>
      </text>
    </comment>
    <comment ref="H23" authorId="0" shapeId="0" xr:uid="{00000000-0006-0000-0000-000005000000}">
      <text>
        <r>
          <rPr>
            <sz val="11"/>
            <color theme="1"/>
            <rFont val="aptos narrow"/>
            <scheme val="minor"/>
          </rPr>
          <t>======
ID#AAABKfDlHPA
tc={BB82602D-114B-4BCA-9B51-ECA46C9E881A}    (2024-03-30 02:46:34)
[Threaded comment]
Your version of Excel allows you to read this threaded comment; however, any edits to it will get removed if the file is opened in a newer version of Excel. Learn more: https://go.microsoft.com/fwlink/?linkid=870924
Comment:
    This conversion from tons to square feet to kWh/year is based on CBECS EUI data. It is the same conversion we have already been utilizing in our cost estimations.</t>
        </r>
      </text>
    </comment>
    <comment ref="I23" authorId="0" shapeId="0" xr:uid="{00000000-0006-0000-0000-000008000000}">
      <text>
        <r>
          <rPr>
            <sz val="11"/>
            <color theme="1"/>
            <rFont val="aptos narrow"/>
            <scheme val="minor"/>
          </rPr>
          <t>======
ID#AAABKfDlHOk
tc={2863C499-2A54-40EE-B943-637B8AE6EDE7}    (2024-03-30 02:46:33)
[Threaded comment]
Your version of Excel allows you to read this threaded comment; however, any edits to it will get removed if the file is opened in a newer version of Excel. Learn more: https://go.microsoft.com/fwlink/?linkid=870924
Comment:
    This conversion from tons to square feet to kWh/year is based on CBECS EUI data. It is the same conversion we have already been utilizing in our cost estimations.</t>
        </r>
      </text>
    </comment>
    <comment ref="H25" authorId="0" shapeId="0" xr:uid="{00000000-0006-0000-0000-000001000000}">
      <text>
        <r>
          <rPr>
            <sz val="11"/>
            <color theme="1"/>
            <rFont val="aptos narrow"/>
            <scheme val="minor"/>
          </rPr>
          <t>======
ID#AAABKfDlHPo
tc={AFEDDD51-4A38-4164-A0FB-BE84352A1EEC}    (2024-03-30 02:46:34)
[Threaded comment]
Your version of Excel allows you to read this threaded comment; however, any edits to it will get removed if the file is opened in a newer version of Excel. Learn more: https://go.microsoft.com/fwlink/?linkid=870924
Comment:
    Determined with PV Watts tool with wattage in column E. Per PV Watts, Jacksonville's average conversion is as follows: kWh = kW * 1465.65.</t>
        </r>
      </text>
    </comment>
    <comment ref="I25" authorId="0" shapeId="0" xr:uid="{00000000-0006-0000-0000-000004000000}">
      <text>
        <r>
          <rPr>
            <sz val="11"/>
            <color theme="1"/>
            <rFont val="aptos narrow"/>
            <scheme val="minor"/>
          </rPr>
          <t>======
ID#AAABKfDlHPI
tc={43275BE6-1E8A-4D21-99DF-6AE655D7163A}    (2024-03-30 02:46:34)
[Threaded comment]
Your version of Excel allows you to read this threaded comment; however, any edits to it will get removed if the file is opened in a newer version of Excel. Learn more: https://go.microsoft.com/fwlink/?linkid=870924
Comment:
    Determined with PV Watts tool with wattage in column F. Per PV Watts, Jacksonville's average conversion is as follows: kWh = kW * 1465.65.</t>
        </r>
      </text>
    </comment>
    <comment ref="H26" authorId="0" shapeId="0" xr:uid="{00000000-0006-0000-0000-000007000000}">
      <text>
        <r>
          <rPr>
            <sz val="11"/>
            <color theme="1"/>
            <rFont val="aptos narrow"/>
            <scheme val="minor"/>
          </rPr>
          <t>======
ID#AAABKfDlHOs
tc={7A402D66-D920-4825-A2E3-CDA8DF161BD1}    (2024-03-30 02:46:33)
[Threaded comment]
Your version of Excel allows you to read this threaded comment; however, any edits to it will get removed if the file is opened in a newer version of Excel. Learn more: https://go.microsoft.com/fwlink/?linkid=870924
Comment:
    Determined with PV Watts tool with wattage in column E. Per PV Watts, Jacksonville's average conversion is as follows: kWh = kW * 1465.65.</t>
        </r>
      </text>
    </comment>
    <comment ref="I26" authorId="0" shapeId="0" xr:uid="{00000000-0006-0000-0000-000003000000}">
      <text>
        <r>
          <rPr>
            <sz val="11"/>
            <color theme="1"/>
            <rFont val="aptos narrow"/>
            <scheme val="minor"/>
          </rPr>
          <t>======
ID#AAABKfDlHPQ
tc={F6D3AFB4-6119-4DFF-93E5-9A899EA9E0E8}    (2024-03-30 02:46:34)
[Threaded comment]
Your version of Excel allows you to read this threaded comment; however, any edits to it will get removed if the file is opened in a newer version of Excel. Learn more: https://go.microsoft.com/fwlink/?linkid=870924
Comment:
    Determined with PV Watts tool with wattage in column F. Per PV Watts, Jacksonville's average conversion is as follows: kWh = kW * 1465.65.</t>
        </r>
      </text>
    </comment>
  </commentList>
  <extLst>
    <ext xmlns:r="http://schemas.openxmlformats.org/officeDocument/2006/relationships" uri="GoogleSheetsCustomDataVersion2">
      <go:sheetsCustomData xmlns:go="http://customooxmlschemas.google.com/" r:id="rId1" roundtripDataSignature="AMtx7mjzv9syaZhaIbdjLGB0+QMPLXLD0A=="/>
    </ext>
  </extL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
  </authors>
  <commentList>
    <comment ref="H21" authorId="0" shapeId="0" xr:uid="{00000000-0006-0000-0100-000006000000}">
      <text>
        <r>
          <rPr>
            <sz val="11"/>
            <color theme="1"/>
            <rFont val="aptos narrow"/>
            <scheme val="minor"/>
          </rPr>
          <t>======
ID#AAABKfDlHPE
tc={E6F535E5-03DC-4D90-85D9-B121FF00662B}    (2024-03-30 02:46:34)
[Threaded comment]
Your version of Excel allows you to read this threaded comment; however, any edits to it will get removed if the file is opened in a newer version of Excel. Learn more: https://go.microsoft.com/fwlink/?linkid=870924
Comment:
    This conversion from square feet to kWh/year is based on CBECS EUI data. It is the same conversion we have already been utilizing in our cost estimations.</t>
        </r>
      </text>
    </comment>
    <comment ref="I21" authorId="0" shapeId="0" xr:uid="{00000000-0006-0000-0100-000002000000}">
      <text>
        <r>
          <rPr>
            <sz val="11"/>
            <color theme="1"/>
            <rFont val="aptos narrow"/>
            <scheme val="minor"/>
          </rPr>
          <t>======
ID#AAABKfDlHPc
tc={A990DCE3-7ADC-46AB-BDC6-4ACC599F2772}    (2024-03-30 02:46:34)
[Threaded comment]
Your version of Excel allows you to read this threaded comment; however, any edits to it will get removed if the file is opened in a newer version of Excel. Learn more: https://go.microsoft.com/fwlink/?linkid=870924
Comment:
    This conversion from square feet to kWh/year is based on CBECS EUI data. It is the same conversion we have already been utilizing in our cost estimations.</t>
        </r>
      </text>
    </comment>
    <comment ref="H23" authorId="0" shapeId="0" xr:uid="{00000000-0006-0000-0100-000007000000}">
      <text>
        <r>
          <rPr>
            <sz val="11"/>
            <color theme="1"/>
            <rFont val="aptos narrow"/>
            <scheme val="minor"/>
          </rPr>
          <t>======
ID#AAABKfDlHO4
tc={1B7134E3-80CC-4206-A832-F4A90319C7EE}    (2024-03-30 02:46:33)
[Threaded comment]
Your version of Excel allows you to read this threaded comment; however, any edits to it will get removed if the file is opened in a newer version of Excel. Learn more: https://go.microsoft.com/fwlink/?linkid=870924
Comment:
    This conversion from tons to square feet to kWh/year is based on CBECS EUI data. It is the same conversion we have already been utilizing in our cost estimations.</t>
        </r>
      </text>
    </comment>
    <comment ref="I23" authorId="0" shapeId="0" xr:uid="{00000000-0006-0000-0100-000003000000}">
      <text>
        <r>
          <rPr>
            <sz val="11"/>
            <color theme="1"/>
            <rFont val="aptos narrow"/>
            <scheme val="minor"/>
          </rPr>
          <t>======
ID#AAABKfDlHPY
tc={B784999F-4C15-4184-8F19-6D368D0999E1}    (2024-03-30 02:46:34)
[Threaded comment]
Your version of Excel allows you to read this threaded comment; however, any edits to it will get removed if the file is opened in a newer version of Excel. Learn more: https://go.microsoft.com/fwlink/?linkid=870924
Comment:
    This conversion from tons to square feet to kWh/year is based on CBECS EUI data. It is the same conversion we have already been utilizing in our cost estimations.</t>
        </r>
      </text>
    </comment>
    <comment ref="H25" authorId="0" shapeId="0" xr:uid="{00000000-0006-0000-0100-000004000000}">
      <text>
        <r>
          <rPr>
            <sz val="11"/>
            <color theme="1"/>
            <rFont val="aptos narrow"/>
            <scheme val="minor"/>
          </rPr>
          <t>======
ID#AAABKfDlHPU
tc={6E9A156F-BD8B-4BB3-995C-653B317E201A}    (2024-03-30 02:46:34)
[Threaded comment]
Your version of Excel allows you to read this threaded comment; however, any edits to it will get removed if the file is opened in a newer version of Excel. Learn more: https://go.microsoft.com/fwlink/?linkid=870924
Comment:
    Determined with PV Watts tool with wattage in column E. Per PV Watts, Jacksonville's average conversion is as follows: kWh = kW * 1465.65.</t>
        </r>
      </text>
    </comment>
    <comment ref="I25" authorId="0" shapeId="0" xr:uid="{00000000-0006-0000-0100-000008000000}">
      <text>
        <r>
          <rPr>
            <sz val="11"/>
            <color theme="1"/>
            <rFont val="aptos narrow"/>
            <scheme val="minor"/>
          </rPr>
          <t>======
ID#AAABKfDlHOo
tc={36401167-ADEA-4214-8F3B-738DC6575ADA}    (2024-03-30 02:46:33)
[Threaded comment]
Your version of Excel allows you to read this threaded comment; however, any edits to it will get removed if the file is opened in a newer version of Excel. Learn more: https://go.microsoft.com/fwlink/?linkid=870924
Comment:
    Determined with PV Watts tool with wattage in column F. Per PV Watts, Jacksonville's average conversion is as follows: kWh = kW * 1465.65.</t>
        </r>
      </text>
    </comment>
    <comment ref="H26" authorId="0" shapeId="0" xr:uid="{00000000-0006-0000-0100-000005000000}">
      <text>
        <r>
          <rPr>
            <sz val="11"/>
            <color theme="1"/>
            <rFont val="aptos narrow"/>
            <scheme val="minor"/>
          </rPr>
          <t>======
ID#AAABKfDlHPM
tc={47F8E932-5121-409D-B16C-54B53C047CDE}    (2024-03-30 02:46:34)
[Threaded comment]
Your version of Excel allows you to read this threaded comment; however, any edits to it will get removed if the file is opened in a newer version of Excel. Learn more: https://go.microsoft.com/fwlink/?linkid=870924
Comment:
    Determined with PV Watts tool with wattage in column E. Per PV Watts, Jacksonville's average conversion is as follows: kWh = kW * 1465.65.</t>
        </r>
      </text>
    </comment>
    <comment ref="I26" authorId="0" shapeId="0" xr:uid="{00000000-0006-0000-0100-000001000000}">
      <text>
        <r>
          <rPr>
            <sz val="11"/>
            <color theme="1"/>
            <rFont val="aptos narrow"/>
            <scheme val="minor"/>
          </rPr>
          <t>======
ID#AAABKfDlHPg
tc={515E1033-58C8-4115-890A-AE9677C3A943}    (2024-03-30 02:46:34)
[Threaded comment]
Your version of Excel allows you to read this threaded comment; however, any edits to it will get removed if the file is opened in a newer version of Excel. Learn more: https://go.microsoft.com/fwlink/?linkid=870924
Comment:
    Determined with PV Watts tool with wattage in column F. Per PV Watts, Jacksonville's average conversion is as follows: kWh = kW * 1465.65.</t>
        </r>
      </text>
    </comment>
  </commentList>
  <extLst>
    <ext xmlns:r="http://schemas.openxmlformats.org/officeDocument/2006/relationships" uri="GoogleSheetsCustomDataVersion2">
      <go:sheetsCustomData xmlns:go="http://customooxmlschemas.google.com/" r:id="rId1" roundtripDataSignature="AMtx7mhM31XAscTh8QvVMzBloKjaZTwoJg=="/>
    </ext>
  </extL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
  </authors>
  <commentList>
    <comment ref="B1" authorId="0" shapeId="0" xr:uid="{00000000-0006-0000-0300-000002000000}">
      <text>
        <r>
          <rPr>
            <sz val="11"/>
            <color theme="1"/>
            <rFont val="aptos narrow"/>
            <scheme val="minor"/>
          </rPr>
          <t>======
ID#AAABKfDlHOw
tc={C8377948-30F3-4653-8102-AA91D095DE21}    (2024-03-30 02:46:33)
[Threaded comment]
Your version of Excel allows you to read this threaded comment; however, any edits to it will get removed if the file is opened in a newer version of Excel. Learn more: https://go.microsoft.com/fwlink/?linkid=870924
Comment:
    GHG reduction estimates for electricity are calculated using the NREL standard scenarios mid case 2023 data set for the Florida region. The mid case scenario uses central or median values for core inputs such as technology costs and fuel prices, end-use electricity demand growth, and both state and federal (but not local) electricity sector policies as they existed in September 2023. The mid case scenario used does not impose any CO2 emission limit other than those already in place at the sub-national level (i.e., regional and state level).
The Standard Scenarios include 17 sensitivity scenarios that vary factors such as fuel prices, demand growth, technology costs, resource availability, and transmission conditions.
The mid case scenario reports emissions forecast every 2 years from 2024 to 2050.
Emissions rates were converted to CO2e using the IPCC 5th Assessment 100 year global warming potentials (GWP).
Reply:
    NREL Online Scenario Viewer: https://scenarioviewer.nrel.gov/?project=03ad535d-f0ed-4a6b-8323-c582a606e92c&amp;mode=view&amp;layout=Default
Reply:
    NREL 2023 Standard Scenarios Report: https://www.nrel.gov/docs/fy24osti/87724.pdf</t>
        </r>
      </text>
    </comment>
    <comment ref="A32" authorId="0" shapeId="0" xr:uid="{00000000-0006-0000-0300-000001000000}">
      <text>
        <r>
          <rPr>
            <sz val="11"/>
            <color theme="1"/>
            <rFont val="aptos narrow"/>
            <scheme val="minor"/>
          </rPr>
          <t>======
ID#AAABKfDlHO8
tc={88599FAA-3BBB-4D5F-9E87-648266684E5F}    (2024-03-30 02:46:34)
[Threaded comment]
Your version of Excel allows you to read this threaded comment; however, any edits to it will get removed if the file is opened in a newer version of Excel. Learn more: https://go.microsoft.com/fwlink/?linkid=870924
Comment:
    GHG reduction estimates for electricity are calculated using the NREL standard scenarios mid case 2023 data set for the Florida region. The mid case scenario uses central or median values for core inputs such as technology costs and fuel prices, end-use electricity demand growth, and both state and federal (but not local) electricity sector policies as they existed in September 2023. The mid case scenario used does not impose any CO2 emission limit other than those already in place at the sub-national level (i.e., regional and state level).
The Standard Scenarios include 17 sensitivity scenarios that vary factors such as fuel prices, demand growth, technology costs, resource availability, and transmission conditions.
The mid case scenario reports emissions forecast every 2 years from 2024 to 2050.
Emissions rates were converted to CO2e using the IPCC 5th Assessment 100 year global warming potentials (GWP).
Reply:
    NREL Online Scenario Viewer: https://scenarioviewer.nrel.gov/?project=03ad535d-f0ed-4a6b-8323-c582a606e92c&amp;mode=view&amp;layout=Default
Reply:
    NREL 2023 Standard Scenarios Report: https://www.nrel.gov/docs/fy24osti/87724.pdf</t>
        </r>
      </text>
    </comment>
  </commentList>
  <extLst>
    <ext xmlns:r="http://schemas.openxmlformats.org/officeDocument/2006/relationships" uri="GoogleSheetsCustomDataVersion2">
      <go:sheetsCustomData xmlns:go="http://customooxmlschemas.google.com/" r:id="rId1" roundtripDataSignature="AMtx7mitUt+xEVAO0v+LbgT/ybwCjgqlTg=="/>
    </ext>
  </extLst>
</comments>
</file>

<file path=xl/sharedStrings.xml><?xml version="1.0" encoding="utf-8"?>
<sst xmlns="http://schemas.openxmlformats.org/spreadsheetml/2006/main" count="254" uniqueCount="71">
  <si>
    <t>Jacksonville MSA - Implementation Cost per MT CO2e</t>
  </si>
  <si>
    <t>Measure 1</t>
  </si>
  <si>
    <t>Measure</t>
  </si>
  <si>
    <t>Projected Funding</t>
  </si>
  <si>
    <t>Cost per Toolkit</t>
  </si>
  <si>
    <t># of Toolkits</t>
  </si>
  <si>
    <t>Checkouts per Year</t>
  </si>
  <si>
    <t>kWh Saved per Year</t>
  </si>
  <si>
    <t>Backpacks</t>
  </si>
  <si>
    <t>Year 1 # of Toolkits</t>
  </si>
  <si>
    <t>Year 5 # of Toolkits</t>
  </si>
  <si>
    <t>kWh / Yr 1</t>
  </si>
  <si>
    <t>kWh / Yr 5</t>
  </si>
  <si>
    <t>Consumable Toolkits</t>
  </si>
  <si>
    <t>YEAR</t>
  </si>
  <si>
    <t>2025-2030 CUMULATIVE</t>
  </si>
  <si>
    <t>kwh</t>
  </si>
  <si>
    <t>mtCO2e</t>
  </si>
  <si>
    <t>2025-2050 CUMULATIVE</t>
  </si>
  <si>
    <t>Measure 2</t>
  </si>
  <si>
    <t>Low Cost per Sq Ft</t>
  </si>
  <si>
    <t>High Cost per Sq Ft</t>
  </si>
  <si>
    <t>Low Sq Ft</t>
  </si>
  <si>
    <t>High Sq Ft</t>
  </si>
  <si>
    <t>Low kWh/Year</t>
  </si>
  <si>
    <t>High kWh/Year</t>
  </si>
  <si>
    <t>Light Energy Efficiency</t>
  </si>
  <si>
    <t>Low Cost per Ton</t>
  </si>
  <si>
    <t>High Cost per Ton</t>
  </si>
  <si>
    <t>Low Tons</t>
  </si>
  <si>
    <t>High Tons</t>
  </si>
  <si>
    <t>Deep Energy Efficiency</t>
  </si>
  <si>
    <t>Low Cost per Watt</t>
  </si>
  <si>
    <t>High Cost per Watt</t>
  </si>
  <si>
    <t>Low Wattage</t>
  </si>
  <si>
    <t>High Wattage</t>
  </si>
  <si>
    <t>Small Scale Solar</t>
  </si>
  <si>
    <t>Large Scale Solar</t>
  </si>
  <si>
    <t>2025-2030 TOTAL</t>
  </si>
  <si>
    <t>kwh, average</t>
  </si>
  <si>
    <t>2025-2050 TOTAL</t>
  </si>
  <si>
    <t>NREL Projected CO2e Emissions Rates</t>
  </si>
  <si>
    <t>Year</t>
  </si>
  <si>
    <t>MT CO2e / MWh</t>
  </si>
  <si>
    <t xml:space="preserve">
Implementation Cost per MT CO2e</t>
  </si>
  <si>
    <t>CPRG Budget</t>
  </si>
  <si>
    <t>Budget</t>
  </si>
  <si>
    <t>2025-2030 Cost Savings</t>
  </si>
  <si>
    <t>Capital Cost / MT CO2e Reduced</t>
  </si>
  <si>
    <t>Net Value / MT CO2e Reduced
 [ ( Captial Cost - Cost Savings ) / MT CO2e ]</t>
  </si>
  <si>
    <t>2025-2030 yearly average</t>
  </si>
  <si>
    <t>2025-2030 total</t>
  </si>
  <si>
    <t>kwh, measure 1</t>
  </si>
  <si>
    <t>kwh, measure 2</t>
  </si>
  <si>
    <t xml:space="preserve">     kwh, energy efficiency</t>
  </si>
  <si>
    <t>MT CO2e, energy efficiency</t>
  </si>
  <si>
    <t xml:space="preserve">     kwh, solar</t>
  </si>
  <si>
    <t>MT CO2e, solar</t>
  </si>
  <si>
    <t>M1 Savings</t>
  </si>
  <si>
    <t>M2 Energy Efficiency Savings</t>
  </si>
  <si>
    <t>M2 Solar Savings</t>
  </si>
  <si>
    <t>2025-2050 yearly average</t>
  </si>
  <si>
    <t>2025-2050 total</t>
  </si>
  <si>
    <t>2030-2050 TOTAL</t>
  </si>
  <si>
    <t>Low MT CO2e per Year by Year</t>
  </si>
  <si>
    <t>Average by 2030</t>
  </si>
  <si>
    <t>Average by 2050</t>
  </si>
  <si>
    <t>High MT CO2e per Year by Year</t>
  </si>
  <si>
    <t>MT CO2e / KWh</t>
  </si>
  <si>
    <t>2030 Avg</t>
  </si>
  <si>
    <t>2050 Avg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</si>
</sst>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6" formatCode="&quot;$&quot;#,##0_);[Red]\(&quot;$&quot;#,##0\)"/>
    <numFmt numFmtId="8" formatCode="&quot;$&quot;#,##0.00_);[Red]\(&quot;$&quot;#,##0.00\)"/>
    <numFmt numFmtId="41" formatCode="_(* #,##0_);_(* \(#,##0\);_(* &quot;-&quot;_);_(@_)"/>
    <numFmt numFmtId="44" formatCode="_(&quot;$&quot;* #,##0.00_);_(&quot;$&quot;* \(#,##0.00\);_(&quot;$&quot;* &quot;-&quot;??_);_(@_)"/>
    <numFmt numFmtId="43" formatCode="_(* #,##0.00_);_(* \(#,##0.00\);_(* &quot;-&quot;??_);_(@_)"/>
    <numFmt numFmtId="164" formatCode="&quot;$&quot;#,##0.00"/>
    <numFmt numFmtId="165" formatCode="_(* #,##0_);_(* \(#,##0\);_(* &quot;-&quot;??_);_(@_)"/>
    <numFmt numFmtId="166" formatCode="0.0"/>
    <numFmt numFmtId="167" formatCode="_(* #,##0.0_);_(* \(#,##0.0\);_(* &quot;-&quot;??.0_);_(@_)"/>
    <numFmt numFmtId="168" formatCode="0.000000000"/>
  </numFmts>
  <fonts count="24">
    <font>
      <sz val="11"/>
      <color theme="1"/>
      <name val="aptos narrow"/>
      <scheme val="minor"/>
    </font>
    <font>
      <b/>
      <sz val="24"/>
      <color rgb="FF0F4761"/>
      <name val="Times New Roman"/>
      <family val="1"/>
    </font>
    <font>
      <sz val="11"/>
      <color theme="1"/>
      <name val="Times New Roman"/>
      <family val="1"/>
    </font>
    <font>
      <b/>
      <u/>
      <sz val="11"/>
      <color theme="0"/>
      <name val="Times New Roman"/>
      <family val="1"/>
    </font>
    <font>
      <b/>
      <sz val="11"/>
      <color theme="1"/>
      <name val="Times New Roman"/>
      <family val="1"/>
    </font>
    <font>
      <sz val="11"/>
      <name val="Aptos Narrow"/>
    </font>
    <font>
      <sz val="11"/>
      <color theme="1"/>
      <name val="Aptos Narrow"/>
    </font>
    <font>
      <i/>
      <sz val="11"/>
      <color theme="1"/>
      <name val="Times New Roman"/>
      <family val="1"/>
    </font>
    <font>
      <b/>
      <u/>
      <sz val="11"/>
      <color theme="0"/>
      <name val="Times New Roman"/>
      <family val="1"/>
    </font>
    <font>
      <sz val="11"/>
      <color theme="1"/>
      <name val="Calibri"/>
      <family val="2"/>
    </font>
    <font>
      <sz val="9"/>
      <color rgb="FF1155CC"/>
      <name val="&quot;Google Sans Mono&quot;"/>
    </font>
    <font>
      <sz val="11"/>
      <color theme="1"/>
      <name val="Arial"/>
      <family val="2"/>
    </font>
    <font>
      <b/>
      <u/>
      <sz val="11"/>
      <color theme="0"/>
      <name val="Times New Roman"/>
      <family val="1"/>
    </font>
    <font>
      <b/>
      <i/>
      <sz val="11"/>
      <color theme="1"/>
      <name val="Times New Roman"/>
      <family val="1"/>
    </font>
    <font>
      <b/>
      <sz val="11"/>
      <color theme="0"/>
      <name val="Times New Roman"/>
      <family val="1"/>
    </font>
    <font>
      <sz val="11"/>
      <color rgb="FF000000"/>
      <name val="Aptos"/>
    </font>
    <font>
      <sz val="11"/>
      <color theme="1"/>
      <name val="Aptos"/>
    </font>
    <font>
      <sz val="11"/>
      <color rgb="FF000000"/>
      <name val="&quot;Aptos Narrow&quot;"/>
    </font>
    <font>
      <sz val="11"/>
      <color rgb="FF000000"/>
      <name val="Arial"/>
      <family val="2"/>
    </font>
    <font>
      <b/>
      <sz val="11"/>
      <color theme="1"/>
      <name val="Times New Roman"/>
      <family val="1"/>
    </font>
    <font>
      <sz val="11"/>
      <color theme="1"/>
      <name val="aptos narrow"/>
      <scheme val="minor"/>
    </font>
    <font>
      <sz val="11"/>
      <color theme="1"/>
      <name val="Arial"/>
      <family val="2"/>
    </font>
    <font>
      <b/>
      <sz val="11"/>
      <color theme="1"/>
      <name val="Aptos Narrow"/>
    </font>
    <font>
      <i/>
      <sz val="11"/>
      <color theme="1"/>
      <name val="Aptos Narrow"/>
    </font>
  </fonts>
  <fills count="8">
    <fill>
      <patternFill patternType="none"/>
    </fill>
    <fill>
      <patternFill patternType="gray125"/>
    </fill>
    <fill>
      <patternFill patternType="solid">
        <fgColor rgb="FF0F4761"/>
        <bgColor rgb="FF0F4761"/>
      </patternFill>
    </fill>
    <fill>
      <patternFill patternType="solid">
        <fgColor rgb="FFD8D8D8"/>
        <bgColor rgb="FFD8D8D8"/>
      </patternFill>
    </fill>
    <fill>
      <patternFill patternType="solid">
        <fgColor rgb="FFB3E5A1"/>
        <bgColor rgb="FFB3E5A1"/>
      </patternFill>
    </fill>
    <fill>
      <patternFill patternType="solid">
        <fgColor rgb="FFFFFFFF"/>
        <bgColor rgb="FFFFFFFF"/>
      </patternFill>
    </fill>
    <fill>
      <patternFill patternType="solid">
        <fgColor rgb="FFC0E4F5"/>
        <bgColor rgb="FFC0E4F5"/>
      </patternFill>
    </fill>
    <fill>
      <patternFill patternType="solid">
        <fgColor rgb="FFF2F2F2"/>
        <bgColor rgb="FFF2F2F2"/>
      </patternFill>
    </fill>
  </fills>
  <borders count="52">
    <border>
      <left/>
      <right/>
      <top/>
      <bottom/>
      <diagonal/>
    </border>
    <border>
      <left/>
      <right/>
      <top style="double">
        <color rgb="FF0F4761"/>
      </top>
      <bottom/>
      <diagonal/>
    </border>
    <border>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000000"/>
      </left>
      <right/>
      <top style="thin">
        <color rgb="FF000000"/>
      </top>
      <bottom style="thin">
        <color rgb="FF000000"/>
      </bottom>
      <diagonal/>
    </border>
    <border>
      <left style="thin">
        <color rgb="FF000000"/>
      </left>
      <right style="thin">
        <color rgb="FF000000"/>
      </right>
      <top/>
      <bottom/>
      <diagonal/>
    </border>
    <border>
      <left/>
      <right style="thin">
        <color rgb="FF000000"/>
      </right>
      <top/>
      <bottom/>
      <diagonal/>
    </border>
    <border>
      <left/>
      <right/>
      <top style="thin">
        <color rgb="FF000000"/>
      </top>
      <bottom/>
      <diagonal/>
    </border>
    <border>
      <left/>
      <right/>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style="thin">
        <color rgb="FF000000"/>
      </left>
      <right style="thin">
        <color rgb="FF000000"/>
      </right>
      <top/>
      <bottom style="thin">
        <color rgb="FF000000"/>
      </bottom>
      <diagonal/>
    </border>
    <border>
      <left/>
      <right/>
      <top/>
      <bottom/>
      <diagonal/>
    </border>
    <border>
      <left style="thin">
        <color rgb="FF000000"/>
      </left>
      <right/>
      <top/>
      <bottom/>
      <diagonal/>
    </border>
    <border>
      <left/>
      <right/>
      <top/>
      <bottom/>
      <diagonal/>
    </border>
    <border>
      <left style="medium">
        <color rgb="FF000000"/>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style="medium">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style="thin">
        <color rgb="FF000000"/>
      </right>
      <top/>
      <bottom style="medium">
        <color rgb="FF000000"/>
      </bottom>
      <diagonal/>
    </border>
    <border>
      <left style="thin">
        <color rgb="FF000000"/>
      </left>
      <right style="thin">
        <color rgb="FF000000"/>
      </right>
      <top/>
      <bottom style="medium">
        <color rgb="FF000000"/>
      </bottom>
      <diagonal/>
    </border>
    <border>
      <left style="thin">
        <color rgb="FF000000"/>
      </left>
      <right style="medium">
        <color rgb="FF000000"/>
      </right>
      <top/>
      <bottom style="medium">
        <color rgb="FF000000"/>
      </bottom>
      <diagonal/>
    </border>
    <border>
      <left style="medium">
        <color rgb="FF000000"/>
      </left>
      <right style="thin">
        <color rgb="FF000000"/>
      </right>
      <top style="thin">
        <color rgb="FF000000"/>
      </top>
      <bottom/>
      <diagonal/>
    </border>
    <border>
      <left style="thin">
        <color rgb="FF000000"/>
      </left>
      <right style="medium">
        <color rgb="FF000000"/>
      </right>
      <top/>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top/>
      <bottom style="thin">
        <color rgb="FF000000"/>
      </bottom>
      <diagonal/>
    </border>
    <border>
      <left style="thin">
        <color rgb="FF000000"/>
      </left>
      <right/>
      <top style="thin">
        <color rgb="FF000000"/>
      </top>
      <bottom/>
      <diagonal/>
    </border>
    <border>
      <left style="thin">
        <color rgb="FF000000"/>
      </left>
      <right style="medium">
        <color rgb="FF000000"/>
      </right>
      <top style="thin">
        <color rgb="FF000000"/>
      </top>
      <bottom/>
      <diagonal/>
    </border>
  </borders>
  <cellStyleXfs count="1">
    <xf numFmtId="0" fontId="0" fillId="0" borderId="0"/>
  </cellStyleXfs>
  <cellXfs count="137">
    <xf numFmtId="0" fontId="0" fillId="0" borderId="0" xfId="0"/>
    <xf numFmtId="0" fontId="2" fillId="0" borderId="1" xfId="0" applyFont="1" applyBorder="1"/>
    <xf numFmtId="0" fontId="4" fillId="3" borderId="3" xfId="0" applyFont="1" applyFill="1" applyBorder="1" applyAlignment="1">
      <alignment horizontal="center"/>
    </xf>
    <xf numFmtId="0" fontId="2" fillId="0" borderId="0" xfId="0" applyFont="1"/>
    <xf numFmtId="0" fontId="6" fillId="0" borderId="0" xfId="0" applyFont="1" applyAlignment="1">
      <alignment horizontal="center"/>
    </xf>
    <xf numFmtId="0" fontId="7" fillId="0" borderId="3" xfId="0" applyFont="1" applyBorder="1" applyAlignment="1">
      <alignment horizontal="center"/>
    </xf>
    <xf numFmtId="6" fontId="2" fillId="0" borderId="3" xfId="0" applyNumberFormat="1" applyFont="1" applyBorder="1"/>
    <xf numFmtId="41" fontId="2" fillId="0" borderId="3" xfId="0" applyNumberFormat="1" applyFont="1" applyBorder="1"/>
    <xf numFmtId="41" fontId="2" fillId="0" borderId="4" xfId="0" applyNumberFormat="1" applyFont="1" applyBorder="1" applyAlignment="1">
      <alignment horizontal="center"/>
    </xf>
    <xf numFmtId="41" fontId="2" fillId="0" borderId="7" xfId="0" applyNumberFormat="1" applyFont="1" applyBorder="1"/>
    <xf numFmtId="0" fontId="4" fillId="3" borderId="8" xfId="0" applyFont="1" applyFill="1" applyBorder="1" applyAlignment="1">
      <alignment horizontal="center"/>
    </xf>
    <xf numFmtId="0" fontId="4" fillId="3" borderId="9" xfId="0" applyFont="1" applyFill="1" applyBorder="1" applyAlignment="1">
      <alignment horizontal="center"/>
    </xf>
    <xf numFmtId="0" fontId="4" fillId="3" borderId="10" xfId="0" applyFont="1" applyFill="1" applyBorder="1" applyAlignment="1">
      <alignment horizontal="center"/>
    </xf>
    <xf numFmtId="165" fontId="4" fillId="4" borderId="3" xfId="0" applyNumberFormat="1" applyFont="1" applyFill="1" applyBorder="1" applyAlignment="1">
      <alignment horizontal="right"/>
    </xf>
    <xf numFmtId="166" fontId="2" fillId="0" borderId="3" xfId="0" applyNumberFormat="1" applyFont="1" applyBorder="1"/>
    <xf numFmtId="166" fontId="2" fillId="0" borderId="4" xfId="0" applyNumberFormat="1" applyFont="1" applyBorder="1"/>
    <xf numFmtId="167" fontId="4" fillId="4" borderId="3" xfId="0" applyNumberFormat="1" applyFont="1" applyFill="1" applyBorder="1" applyAlignment="1">
      <alignment horizontal="right"/>
    </xf>
    <xf numFmtId="41" fontId="2" fillId="0" borderId="3" xfId="0" applyNumberFormat="1" applyFont="1" applyBorder="1" applyAlignment="1">
      <alignment horizontal="center"/>
    </xf>
    <xf numFmtId="1" fontId="2" fillId="0" borderId="3" xfId="0" applyNumberFormat="1" applyFont="1" applyBorder="1"/>
    <xf numFmtId="43" fontId="6" fillId="0" borderId="0" xfId="0" applyNumberFormat="1" applyFont="1"/>
    <xf numFmtId="1" fontId="2" fillId="0" borderId="0" xfId="0" applyNumberFormat="1" applyFont="1"/>
    <xf numFmtId="43" fontId="6" fillId="0" borderId="3" xfId="0" applyNumberFormat="1" applyFont="1" applyBorder="1"/>
    <xf numFmtId="2" fontId="2" fillId="0" borderId="3" xfId="0" applyNumberFormat="1" applyFont="1" applyBorder="1"/>
    <xf numFmtId="0" fontId="4" fillId="3" borderId="11" xfId="0" applyFont="1" applyFill="1" applyBorder="1" applyAlignment="1">
      <alignment horizontal="center"/>
    </xf>
    <xf numFmtId="0" fontId="7" fillId="0" borderId="0" xfId="0" applyFont="1" applyAlignment="1">
      <alignment horizontal="center"/>
    </xf>
    <xf numFmtId="6" fontId="2" fillId="0" borderId="0" xfId="0" applyNumberFormat="1" applyFont="1"/>
    <xf numFmtId="164" fontId="2" fillId="0" borderId="0" xfId="0" applyNumberFormat="1" applyFont="1"/>
    <xf numFmtId="41" fontId="2" fillId="0" borderId="0" xfId="0" applyNumberFormat="1" applyFont="1"/>
    <xf numFmtId="164" fontId="2" fillId="0" borderId="3" xfId="0" applyNumberFormat="1" applyFont="1" applyBorder="1"/>
    <xf numFmtId="8" fontId="2" fillId="0" borderId="3" xfId="0" applyNumberFormat="1" applyFont="1" applyBorder="1"/>
    <xf numFmtId="8" fontId="2" fillId="0" borderId="3" xfId="0" applyNumberFormat="1" applyFont="1" applyBorder="1" applyAlignment="1">
      <alignment horizontal="right"/>
    </xf>
    <xf numFmtId="164" fontId="2" fillId="0" borderId="3" xfId="0" applyNumberFormat="1" applyFont="1" applyBorder="1" applyAlignment="1">
      <alignment horizontal="right"/>
    </xf>
    <xf numFmtId="6" fontId="9" fillId="0" borderId="3" xfId="0" applyNumberFormat="1" applyFont="1" applyBorder="1" applyAlignment="1">
      <alignment horizontal="right" vertical="center" wrapText="1"/>
    </xf>
    <xf numFmtId="41" fontId="6" fillId="0" borderId="0" xfId="0" applyNumberFormat="1" applyFont="1"/>
    <xf numFmtId="0" fontId="10" fillId="5" borderId="0" xfId="0" applyFont="1" applyFill="1"/>
    <xf numFmtId="0" fontId="4" fillId="3" borderId="17" xfId="0" applyFont="1" applyFill="1" applyBorder="1" applyAlignment="1">
      <alignment horizontal="center"/>
    </xf>
    <xf numFmtId="41" fontId="2" fillId="0" borderId="16" xfId="0" applyNumberFormat="1" applyFont="1" applyBorder="1"/>
    <xf numFmtId="41" fontId="11" fillId="0" borderId="0" xfId="0" applyNumberFormat="1" applyFont="1"/>
    <xf numFmtId="1" fontId="2" fillId="0" borderId="7" xfId="0" applyNumberFormat="1" applyFont="1" applyBorder="1"/>
    <xf numFmtId="0" fontId="4" fillId="3" borderId="18" xfId="0" applyFont="1" applyFill="1" applyBorder="1" applyAlignment="1">
      <alignment horizontal="center"/>
    </xf>
    <xf numFmtId="0" fontId="13" fillId="3" borderId="3" xfId="0" applyFont="1" applyFill="1" applyBorder="1" applyAlignment="1">
      <alignment horizontal="center"/>
    </xf>
    <xf numFmtId="0" fontId="2" fillId="0" borderId="3" xfId="0" applyFont="1" applyBorder="1"/>
    <xf numFmtId="0" fontId="15" fillId="0" borderId="0" xfId="0" applyFont="1" applyAlignment="1">
      <alignment vertical="center"/>
    </xf>
    <xf numFmtId="0" fontId="15" fillId="0" borderId="0" xfId="0" applyFont="1" applyAlignment="1">
      <alignment vertical="center" wrapText="1"/>
    </xf>
    <xf numFmtId="6" fontId="2" fillId="4" borderId="3" xfId="0" applyNumberFormat="1" applyFont="1" applyFill="1" applyBorder="1"/>
    <xf numFmtId="6" fontId="2" fillId="4" borderId="10" xfId="0" applyNumberFormat="1" applyFont="1" applyFill="1" applyBorder="1"/>
    <xf numFmtId="44" fontId="6" fillId="4" borderId="3" xfId="0" applyNumberFormat="1" applyFont="1" applyFill="1" applyBorder="1"/>
    <xf numFmtId="0" fontId="15" fillId="0" borderId="0" xfId="0" applyFont="1" applyAlignment="1">
      <alignment horizontal="right" vertical="center"/>
    </xf>
    <xf numFmtId="0" fontId="16" fillId="0" borderId="0" xfId="0" applyFont="1" applyAlignment="1">
      <alignment horizontal="right" vertical="center" wrapText="1"/>
    </xf>
    <xf numFmtId="0" fontId="16" fillId="0" borderId="0" xfId="0" applyFont="1" applyAlignment="1">
      <alignment horizontal="right" vertical="center"/>
    </xf>
    <xf numFmtId="3" fontId="17" fillId="0" borderId="3" xfId="0" applyNumberFormat="1" applyFont="1" applyBorder="1" applyAlignment="1">
      <alignment horizontal="center"/>
    </xf>
    <xf numFmtId="1" fontId="17" fillId="0" borderId="3" xfId="0" applyNumberFormat="1" applyFont="1" applyBorder="1" applyAlignment="1">
      <alignment horizontal="center"/>
    </xf>
    <xf numFmtId="3" fontId="18" fillId="0" borderId="3" xfId="0" applyNumberFormat="1" applyFont="1" applyBorder="1" applyAlignment="1">
      <alignment horizontal="center"/>
    </xf>
    <xf numFmtId="0" fontId="19" fillId="3" borderId="3" xfId="0" applyFont="1" applyFill="1" applyBorder="1" applyAlignment="1">
      <alignment horizontal="center"/>
    </xf>
    <xf numFmtId="4" fontId="20" fillId="0" borderId="3" xfId="0" applyNumberFormat="1" applyFont="1" applyBorder="1" applyAlignment="1">
      <alignment horizontal="center"/>
    </xf>
    <xf numFmtId="44" fontId="20" fillId="0" borderId="3" xfId="0" applyNumberFormat="1" applyFont="1" applyBorder="1"/>
    <xf numFmtId="44" fontId="17" fillId="0" borderId="3" xfId="0" applyNumberFormat="1" applyFont="1" applyBorder="1" applyAlignment="1">
      <alignment horizontal="center"/>
    </xf>
    <xf numFmtId="41" fontId="20" fillId="0" borderId="3" xfId="0" applyNumberFormat="1" applyFont="1" applyBorder="1"/>
    <xf numFmtId="1" fontId="20" fillId="0" borderId="3" xfId="0" applyNumberFormat="1" applyFont="1" applyBorder="1"/>
    <xf numFmtId="3" fontId="20" fillId="0" borderId="3" xfId="0" applyNumberFormat="1" applyFont="1" applyBorder="1"/>
    <xf numFmtId="3" fontId="21" fillId="0" borderId="3" xfId="0" applyNumberFormat="1" applyFont="1" applyBorder="1"/>
    <xf numFmtId="4" fontId="20" fillId="0" borderId="3" xfId="0" applyNumberFormat="1" applyFont="1" applyBorder="1"/>
    <xf numFmtId="1" fontId="2" fillId="0" borderId="4" xfId="0" applyNumberFormat="1" applyFont="1" applyBorder="1"/>
    <xf numFmtId="6" fontId="6" fillId="0" borderId="0" xfId="0" applyNumberFormat="1" applyFont="1"/>
    <xf numFmtId="165" fontId="4" fillId="4" borderId="8" xfId="0" applyNumberFormat="1" applyFont="1" applyFill="1" applyBorder="1" applyAlignment="1">
      <alignment horizontal="right"/>
    </xf>
    <xf numFmtId="0" fontId="22" fillId="3" borderId="28" xfId="0" applyFont="1" applyFill="1" applyBorder="1" applyAlignment="1">
      <alignment horizontal="center"/>
    </xf>
    <xf numFmtId="0" fontId="22" fillId="3" borderId="29" xfId="0" applyFont="1" applyFill="1" applyBorder="1" applyAlignment="1">
      <alignment horizontal="center"/>
    </xf>
    <xf numFmtId="0" fontId="22" fillId="3" borderId="30" xfId="0" applyFont="1" applyFill="1" applyBorder="1" applyAlignment="1">
      <alignment horizontal="center"/>
    </xf>
    <xf numFmtId="0" fontId="22" fillId="3" borderId="31" xfId="0" applyFont="1" applyFill="1" applyBorder="1" applyAlignment="1">
      <alignment horizontal="center"/>
    </xf>
    <xf numFmtId="0" fontId="23" fillId="0" borderId="32" xfId="0" applyFont="1" applyBorder="1" applyAlignment="1">
      <alignment horizontal="center"/>
    </xf>
    <xf numFmtId="41" fontId="6" fillId="0" borderId="16" xfId="0" applyNumberFormat="1" applyFont="1" applyBorder="1"/>
    <xf numFmtId="41" fontId="6" fillId="0" borderId="33" xfId="0" applyNumberFormat="1" applyFont="1" applyBorder="1"/>
    <xf numFmtId="0" fontId="23" fillId="0" borderId="34" xfId="0" applyFont="1" applyBorder="1" applyAlignment="1">
      <alignment horizontal="center"/>
    </xf>
    <xf numFmtId="41" fontId="6" fillId="0" borderId="3" xfId="0" applyNumberFormat="1" applyFont="1" applyBorder="1"/>
    <xf numFmtId="41" fontId="6" fillId="0" borderId="35" xfId="0" applyNumberFormat="1" applyFont="1" applyBorder="1"/>
    <xf numFmtId="0" fontId="23" fillId="0" borderId="36" xfId="0" applyFont="1" applyBorder="1" applyAlignment="1">
      <alignment horizontal="center"/>
    </xf>
    <xf numFmtId="41" fontId="6" fillId="0" borderId="37" xfId="0" applyNumberFormat="1" applyFont="1" applyBorder="1"/>
    <xf numFmtId="41" fontId="6" fillId="0" borderId="38" xfId="0" applyNumberFormat="1" applyFont="1" applyBorder="1"/>
    <xf numFmtId="0" fontId="23" fillId="6" borderId="39" xfId="0" applyFont="1" applyFill="1" applyBorder="1" applyAlignment="1">
      <alignment horizontal="center"/>
    </xf>
    <xf numFmtId="41" fontId="23" fillId="6" borderId="18" xfId="0" applyNumberFormat="1" applyFont="1" applyFill="1" applyBorder="1"/>
    <xf numFmtId="41" fontId="23" fillId="6" borderId="40" xfId="0" applyNumberFormat="1" applyFont="1" applyFill="1" applyBorder="1"/>
    <xf numFmtId="0" fontId="23" fillId="6" borderId="36" xfId="0" applyFont="1" applyFill="1" applyBorder="1" applyAlignment="1">
      <alignment horizontal="center"/>
    </xf>
    <xf numFmtId="41" fontId="23" fillId="6" borderId="37" xfId="0" applyNumberFormat="1" applyFont="1" applyFill="1" applyBorder="1"/>
    <xf numFmtId="41" fontId="23" fillId="6" borderId="38" xfId="0" applyNumberFormat="1" applyFont="1" applyFill="1" applyBorder="1"/>
    <xf numFmtId="0" fontId="22" fillId="3" borderId="41" xfId="0" applyFont="1" applyFill="1" applyBorder="1" applyAlignment="1">
      <alignment horizontal="center"/>
    </xf>
    <xf numFmtId="0" fontId="22" fillId="3" borderId="42" xfId="0" applyFont="1" applyFill="1" applyBorder="1" applyAlignment="1">
      <alignment horizontal="center"/>
    </xf>
    <xf numFmtId="0" fontId="22" fillId="3" borderId="43" xfId="0" applyFont="1" applyFill="1" applyBorder="1" applyAlignment="1">
      <alignment horizontal="center"/>
    </xf>
    <xf numFmtId="0" fontId="23" fillId="0" borderId="44" xfId="0" applyFont="1" applyBorder="1" applyAlignment="1">
      <alignment horizontal="center"/>
    </xf>
    <xf numFmtId="41" fontId="6" fillId="0" borderId="15" xfId="0" applyNumberFormat="1" applyFont="1" applyBorder="1"/>
    <xf numFmtId="41" fontId="6" fillId="0" borderId="45" xfId="0" applyNumberFormat="1" applyFont="1" applyBorder="1"/>
    <xf numFmtId="0" fontId="23" fillId="6" borderId="46" xfId="0" applyFont="1" applyFill="1" applyBorder="1" applyAlignment="1">
      <alignment horizontal="center"/>
    </xf>
    <xf numFmtId="41" fontId="23" fillId="6" borderId="47" xfId="0" applyNumberFormat="1" applyFont="1" applyFill="1" applyBorder="1"/>
    <xf numFmtId="41" fontId="23" fillId="6" borderId="48" xfId="0" applyNumberFormat="1" applyFont="1" applyFill="1" applyBorder="1"/>
    <xf numFmtId="0" fontId="22" fillId="7" borderId="29" xfId="0" applyFont="1" applyFill="1" applyBorder="1" applyAlignment="1">
      <alignment horizontal="center"/>
    </xf>
    <xf numFmtId="0" fontId="22" fillId="7" borderId="30" xfId="0" applyFont="1" applyFill="1" applyBorder="1" applyAlignment="1">
      <alignment horizontal="center"/>
    </xf>
    <xf numFmtId="0" fontId="22" fillId="7" borderId="31" xfId="0" applyFont="1" applyFill="1" applyBorder="1" applyAlignment="1">
      <alignment horizontal="center"/>
    </xf>
    <xf numFmtId="0" fontId="6" fillId="0" borderId="49" xfId="0" applyFont="1" applyBorder="1"/>
    <xf numFmtId="168" fontId="6" fillId="0" borderId="33" xfId="0" applyNumberFormat="1" applyFont="1" applyBorder="1"/>
    <xf numFmtId="0" fontId="6" fillId="0" borderId="4" xfId="0" applyFont="1" applyBorder="1"/>
    <xf numFmtId="0" fontId="6" fillId="0" borderId="35" xfId="0" applyFont="1" applyBorder="1"/>
    <xf numFmtId="0" fontId="6" fillId="0" borderId="50" xfId="0" applyFont="1" applyBorder="1"/>
    <xf numFmtId="0" fontId="6" fillId="0" borderId="51" xfId="0" applyFont="1" applyBorder="1"/>
    <xf numFmtId="0" fontId="6" fillId="6" borderId="47" xfId="0" applyFont="1" applyFill="1" applyBorder="1"/>
    <xf numFmtId="168" fontId="6" fillId="6" borderId="48" xfId="0" applyNumberFormat="1" applyFont="1" applyFill="1" applyBorder="1"/>
    <xf numFmtId="0" fontId="6" fillId="6" borderId="37" xfId="0" applyFont="1" applyFill="1" applyBorder="1"/>
    <xf numFmtId="168" fontId="6" fillId="6" borderId="38" xfId="0" applyNumberFormat="1" applyFont="1" applyFill="1" applyBorder="1"/>
    <xf numFmtId="0" fontId="20" fillId="0" borderId="0" xfId="0" applyFont="1"/>
    <xf numFmtId="0" fontId="3" fillId="2" borderId="2" xfId="0" applyFont="1" applyFill="1" applyBorder="1" applyAlignment="1">
      <alignment horizontal="center" vertical="center" wrapText="1"/>
    </xf>
    <xf numFmtId="0" fontId="5" fillId="0" borderId="6" xfId="0" applyFont="1" applyBorder="1"/>
    <xf numFmtId="0" fontId="5" fillId="0" borderId="12" xfId="0" applyFont="1" applyBorder="1"/>
    <xf numFmtId="0" fontId="8" fillId="2" borderId="13" xfId="0" applyFont="1" applyFill="1" applyBorder="1" applyAlignment="1">
      <alignment horizontal="center" vertical="center" wrapText="1"/>
    </xf>
    <xf numFmtId="0" fontId="5" fillId="0" borderId="14" xfId="0" applyFont="1" applyBorder="1"/>
    <xf numFmtId="0" fontId="5" fillId="0" borderId="19" xfId="0" applyFont="1" applyBorder="1"/>
    <xf numFmtId="0" fontId="12" fillId="2" borderId="7" xfId="0" applyFont="1" applyFill="1" applyBorder="1" applyAlignment="1">
      <alignment horizontal="center" vertical="center" wrapText="1"/>
    </xf>
    <xf numFmtId="0" fontId="5" fillId="0" borderId="15" xfId="0" applyFont="1" applyBorder="1"/>
    <xf numFmtId="0" fontId="5" fillId="0" borderId="16" xfId="0" applyFont="1" applyBorder="1"/>
    <xf numFmtId="0" fontId="14" fillId="2" borderId="7" xfId="0" applyFont="1" applyFill="1" applyBorder="1" applyAlignment="1">
      <alignment horizontal="center" vertical="center" wrapText="1"/>
    </xf>
    <xf numFmtId="0" fontId="1" fillId="0" borderId="0" xfId="0" applyFont="1" applyAlignment="1">
      <alignment horizontal="center" vertical="center"/>
    </xf>
    <xf numFmtId="0" fontId="0" fillId="0" borderId="0" xfId="0"/>
    <xf numFmtId="0" fontId="4" fillId="3" borderId="4" xfId="0" applyFont="1" applyFill="1" applyBorder="1" applyAlignment="1">
      <alignment horizontal="center"/>
    </xf>
    <xf numFmtId="0" fontId="5" fillId="0" borderId="5" xfId="0" applyFont="1" applyBorder="1"/>
    <xf numFmtId="164" fontId="2" fillId="0" borderId="4" xfId="0" applyNumberFormat="1" applyFont="1" applyBorder="1" applyAlignment="1">
      <alignment horizontal="center"/>
    </xf>
    <xf numFmtId="41" fontId="2" fillId="0" borderId="4" xfId="0" applyNumberFormat="1" applyFont="1" applyBorder="1" applyAlignment="1">
      <alignment horizontal="center"/>
    </xf>
    <xf numFmtId="0" fontId="4" fillId="3" borderId="7" xfId="0" applyFont="1" applyFill="1" applyBorder="1" applyAlignment="1">
      <alignment horizontal="center"/>
    </xf>
    <xf numFmtId="0" fontId="4" fillId="3" borderId="20" xfId="0" applyFont="1" applyFill="1" applyBorder="1" applyAlignment="1">
      <alignment horizontal="center" wrapText="1"/>
    </xf>
    <xf numFmtId="0" fontId="5" fillId="0" borderId="21" xfId="0" applyFont="1" applyBorder="1"/>
    <xf numFmtId="44" fontId="6" fillId="4" borderId="4" xfId="0" applyNumberFormat="1" applyFont="1" applyFill="1" applyBorder="1" applyAlignment="1">
      <alignment horizontal="center"/>
    </xf>
    <xf numFmtId="3" fontId="20" fillId="0" borderId="4" xfId="0" applyNumberFormat="1" applyFont="1" applyBorder="1"/>
    <xf numFmtId="1" fontId="20" fillId="0" borderId="4" xfId="0" applyNumberFormat="1" applyFont="1" applyBorder="1"/>
    <xf numFmtId="44" fontId="20" fillId="0" borderId="4" xfId="0" applyNumberFormat="1" applyFont="1" applyBorder="1"/>
    <xf numFmtId="4" fontId="20" fillId="0" borderId="4" xfId="0" applyNumberFormat="1" applyFont="1" applyBorder="1"/>
    <xf numFmtId="0" fontId="6" fillId="0" borderId="22" xfId="0" applyFont="1" applyBorder="1" applyAlignment="1">
      <alignment horizontal="center"/>
    </xf>
    <xf numFmtId="0" fontId="5" fillId="0" borderId="23" xfId="0" applyFont="1" applyBorder="1"/>
    <xf numFmtId="0" fontId="5" fillId="0" borderId="24" xfId="0" applyFont="1" applyBorder="1"/>
    <xf numFmtId="0" fontId="5" fillId="0" borderId="25" xfId="0" applyFont="1" applyBorder="1"/>
    <xf numFmtId="0" fontId="5" fillId="0" borderId="26" xfId="0" applyFont="1" applyBorder="1"/>
    <xf numFmtId="0" fontId="5" fillId="0" borderId="27" xfId="0" applyFont="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comments1.xml.rels><?xml version="1.0" encoding="UTF-8" standalone="yes"?>
<Relationships xmlns="http://schemas.openxmlformats.org/package/2006/relationships"><Relationship Id="rId1" Type="http://customschemas.google.com/relationships/workbookmetadata" Target="commentsmeta0"/></Relationships>
</file>

<file path=xl/_rels/comments2.xml.rels><?xml version="1.0" encoding="UTF-8" standalone="yes"?>
<Relationships xmlns="http://schemas.openxmlformats.org/package/2006/relationships"><Relationship Id="rId1" Type="http://customschemas.google.com/relationships/workbookmetadata" Target="commentsmeta1"/></Relationships>
</file>

<file path=xl/_rels/comments3.xml.rels><?xml version="1.0" encoding="UTF-8" standalone="yes"?>
<Relationships xmlns="http://schemas.openxmlformats.org/package/2006/relationships"><Relationship Id="rId1" Type="http://customschemas.google.com/relationships/workbookmetadata" Target="commentsmeta2"/></Relationships>
</file>

<file path=xl/_rels/workbook.xml.rels><?xml version="1.0" encoding="UTF-8" standalone="yes"?>
<Relationships xmlns="http://schemas.openxmlformats.org/package/2006/relationships"><Relationship Id="rId8" Type="http://customschemas.google.com/relationships/workbookmetadata" Target="metadata"/><Relationship Id="rId3" Type="http://schemas.openxmlformats.org/officeDocument/2006/relationships/worksheet" Target="worksheets/sheet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3</xdr:col>
      <xdr:colOff>457200</xdr:colOff>
      <xdr:row>0</xdr:row>
      <xdr:rowOff>0</xdr:rowOff>
    </xdr:from>
    <xdr:ext cx="12992100" cy="5381625"/>
    <xdr:pic>
      <xdr:nvPicPr>
        <xdr:cNvPr id="2" name="image1.png">
          <a:extLst>
            <a:ext uri="{FF2B5EF4-FFF2-40B4-BE49-F238E27FC236}">
              <a16:creationId xmlns:a16="http://schemas.microsoft.com/office/drawing/2014/main" id="{00000000-0008-0000-0300-000002000000}"/>
            </a:ext>
          </a:extLst>
        </xdr:cNvPr>
        <xdr:cNvPicPr preferRelativeResize="0"/>
      </xdr:nvPicPr>
      <xdr:blipFill>
        <a:blip xmlns:r="http://schemas.openxmlformats.org/officeDocument/2006/relationships" r:embed="rId1" cstate="print"/>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467886"/>
      </a:folHlink>
    </a:clrScheme>
    <a:fontScheme name="Sheets">
      <a:majorFont>
        <a:latin typeface="aptos narrow"/>
        <a:ea typeface="aptos narrow"/>
        <a:cs typeface="aptos narrow"/>
      </a:majorFont>
      <a:minorFont>
        <a:latin typeface="aptos narrow"/>
        <a:ea typeface="aptos narrow"/>
        <a:cs typeface="aptos narrow"/>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1012"/>
  <sheetViews>
    <sheetView showGridLines="0" tabSelected="1" workbookViewId="0">
      <selection sqref="A1:J1"/>
    </sheetView>
  </sheetViews>
  <sheetFormatPr baseColWidth="10" defaultColWidth="12.6640625" defaultRowHeight="15" customHeight="1"/>
  <cols>
    <col min="1" max="1" width="20.6640625" customWidth="1"/>
    <col min="2" max="2" width="25.33203125" customWidth="1"/>
    <col min="3" max="4" width="30.6640625" customWidth="1"/>
    <col min="5" max="5" width="33.6640625" customWidth="1"/>
    <col min="6" max="7" width="28.83203125" customWidth="1"/>
    <col min="8" max="9" width="30.6640625" customWidth="1"/>
    <col min="10" max="10" width="21.6640625" customWidth="1"/>
    <col min="11" max="15" width="13" customWidth="1"/>
    <col min="16" max="16" width="11.33203125" customWidth="1"/>
    <col min="17" max="26" width="8.6640625" customWidth="1"/>
  </cols>
  <sheetData>
    <row r="1" spans="1:26" ht="34.5" customHeight="1">
      <c r="A1" s="117" t="s">
        <v>0</v>
      </c>
      <c r="B1" s="118"/>
      <c r="C1" s="118"/>
      <c r="D1" s="118"/>
      <c r="E1" s="118"/>
      <c r="F1" s="118"/>
      <c r="G1" s="118"/>
      <c r="H1" s="118"/>
      <c r="I1" s="118"/>
      <c r="J1" s="118"/>
    </row>
    <row r="2" spans="1:26">
      <c r="A2" s="1"/>
      <c r="B2" s="1"/>
      <c r="C2" s="1"/>
      <c r="D2" s="1"/>
      <c r="E2" s="1"/>
      <c r="F2" s="1"/>
      <c r="G2" s="1"/>
      <c r="H2" s="1"/>
      <c r="I2" s="1"/>
      <c r="J2" s="1"/>
    </row>
    <row r="3" spans="1:26">
      <c r="A3" s="107" t="s">
        <v>1</v>
      </c>
      <c r="B3" s="2" t="s">
        <v>2</v>
      </c>
      <c r="C3" s="2" t="s">
        <v>3</v>
      </c>
      <c r="D3" s="119" t="s">
        <v>4</v>
      </c>
      <c r="E3" s="120"/>
      <c r="F3" s="2" t="s">
        <v>5</v>
      </c>
      <c r="G3" s="2" t="s">
        <v>6</v>
      </c>
      <c r="H3" s="119" t="s">
        <v>7</v>
      </c>
      <c r="I3" s="120"/>
      <c r="J3" s="3"/>
      <c r="K3" s="4"/>
      <c r="L3" s="4"/>
      <c r="M3" s="4"/>
      <c r="N3" s="4"/>
      <c r="O3" s="4"/>
      <c r="P3" s="4"/>
      <c r="Q3" s="4"/>
      <c r="R3" s="4"/>
      <c r="S3" s="4"/>
      <c r="T3" s="4"/>
      <c r="U3" s="4"/>
      <c r="V3" s="4"/>
      <c r="W3" s="4"/>
      <c r="X3" s="4"/>
      <c r="Y3" s="4"/>
      <c r="Z3" s="4"/>
    </row>
    <row r="4" spans="1:26">
      <c r="A4" s="108"/>
      <c r="B4" s="5" t="s">
        <v>8</v>
      </c>
      <c r="C4" s="6">
        <v>248000</v>
      </c>
      <c r="D4" s="121">
        <v>400</v>
      </c>
      <c r="E4" s="120"/>
      <c r="F4" s="7">
        <f>C4/D4</f>
        <v>620</v>
      </c>
      <c r="G4" s="7">
        <f>F4*26*0.3</f>
        <v>4836</v>
      </c>
      <c r="H4" s="122">
        <f>G4*0.05*16087</f>
        <v>3889836.6</v>
      </c>
      <c r="I4" s="120"/>
      <c r="J4" s="3"/>
      <c r="K4" s="4"/>
      <c r="L4" s="4"/>
      <c r="M4" s="4"/>
      <c r="N4" s="4"/>
    </row>
    <row r="5" spans="1:26">
      <c r="A5" s="108"/>
      <c r="B5" s="2" t="s">
        <v>2</v>
      </c>
      <c r="C5" s="2" t="s">
        <v>3</v>
      </c>
      <c r="D5" s="119" t="s">
        <v>4</v>
      </c>
      <c r="E5" s="120"/>
      <c r="F5" s="2" t="s">
        <v>9</v>
      </c>
      <c r="G5" s="2" t="s">
        <v>10</v>
      </c>
      <c r="H5" s="2" t="s">
        <v>11</v>
      </c>
      <c r="I5" s="2" t="s">
        <v>12</v>
      </c>
      <c r="J5" s="3"/>
      <c r="K5" s="4"/>
      <c r="L5" s="4"/>
      <c r="M5" s="4"/>
      <c r="N5" s="4"/>
    </row>
    <row r="6" spans="1:26">
      <c r="A6" s="108"/>
      <c r="B6" s="5" t="s">
        <v>13</v>
      </c>
      <c r="C6" s="6">
        <v>300000</v>
      </c>
      <c r="D6" s="121">
        <v>300</v>
      </c>
      <c r="E6" s="120"/>
      <c r="F6" s="7">
        <f>G6/5</f>
        <v>200</v>
      </c>
      <c r="G6" s="7">
        <f>C6/D6</f>
        <v>1000</v>
      </c>
      <c r="H6" s="7">
        <f t="shared" ref="H6:I6" si="0">F6*0.05*16087</f>
        <v>160870</v>
      </c>
      <c r="I6" s="9">
        <f t="shared" si="0"/>
        <v>804350</v>
      </c>
      <c r="J6" s="3"/>
      <c r="K6" s="4"/>
      <c r="L6" s="4"/>
      <c r="M6" s="4"/>
      <c r="N6" s="4"/>
    </row>
    <row r="7" spans="1:26">
      <c r="A7" s="108"/>
      <c r="B7" s="2" t="s">
        <v>14</v>
      </c>
      <c r="C7" s="10">
        <v>2025</v>
      </c>
      <c r="D7" s="10">
        <v>2026</v>
      </c>
      <c r="E7" s="10">
        <v>2027</v>
      </c>
      <c r="F7" s="10">
        <v>2028</v>
      </c>
      <c r="G7" s="10">
        <v>2029</v>
      </c>
      <c r="H7" s="11">
        <v>2030</v>
      </c>
      <c r="I7" s="2" t="s">
        <v>15</v>
      </c>
      <c r="J7" s="3"/>
      <c r="K7" s="4"/>
      <c r="L7" s="4"/>
      <c r="M7" s="4"/>
      <c r="N7" s="4"/>
    </row>
    <row r="8" spans="1:26">
      <c r="A8" s="108"/>
      <c r="B8" s="12" t="s">
        <v>16</v>
      </c>
      <c r="C8" s="7">
        <f t="shared" ref="C8:H8" si="1">$H$4+$H$6*(C7-2024)</f>
        <v>4050706.6</v>
      </c>
      <c r="D8" s="7">
        <f t="shared" si="1"/>
        <v>4211576.5999999996</v>
      </c>
      <c r="E8" s="7">
        <f t="shared" si="1"/>
        <v>4372446.5999999996</v>
      </c>
      <c r="F8" s="7">
        <f t="shared" si="1"/>
        <v>4533316.5999999996</v>
      </c>
      <c r="G8" s="7">
        <f t="shared" si="1"/>
        <v>4694186.5999999996</v>
      </c>
      <c r="H8" s="7">
        <f t="shared" si="1"/>
        <v>4855056.5999999996</v>
      </c>
      <c r="I8" s="13">
        <f t="shared" ref="I8:I9" si="2">SUM(C8:H8)</f>
        <v>26717289.600000001</v>
      </c>
      <c r="J8" s="3"/>
      <c r="K8" s="4"/>
      <c r="L8" s="4"/>
      <c r="M8" s="4"/>
      <c r="N8" s="4"/>
    </row>
    <row r="9" spans="1:26">
      <c r="A9" s="108"/>
      <c r="B9" s="12" t="s">
        <v>17</v>
      </c>
      <c r="C9" s="14">
        <f>'CO2e Emissions Rates'!B32*C8/1000</f>
        <v>1490.34670664449</v>
      </c>
      <c r="D9" s="14">
        <f>D46*D8/1000</f>
        <v>1411.2761971044658</v>
      </c>
      <c r="E9" s="14">
        <f t="shared" ref="E9:F9" si="3">D46*E8/1000</f>
        <v>1465.1828509281659</v>
      </c>
      <c r="F9" s="14">
        <f t="shared" si="3"/>
        <v>1260.4200462166757</v>
      </c>
      <c r="G9" s="14">
        <f t="shared" ref="G9:H9" si="4">E46*G8/1000</f>
        <v>1305.1475141448759</v>
      </c>
      <c r="H9" s="15">
        <f t="shared" si="4"/>
        <v>1160.4707763085919</v>
      </c>
      <c r="I9" s="16">
        <f t="shared" si="2"/>
        <v>8092.8440913472641</v>
      </c>
      <c r="J9" s="3"/>
      <c r="K9" s="4"/>
      <c r="L9" s="4"/>
      <c r="M9" s="4"/>
      <c r="N9" s="4"/>
    </row>
    <row r="10" spans="1:26">
      <c r="A10" s="108"/>
      <c r="B10" s="2" t="s">
        <v>14</v>
      </c>
      <c r="C10" s="10">
        <v>2031</v>
      </c>
      <c r="D10" s="10">
        <v>2032</v>
      </c>
      <c r="E10" s="10">
        <v>2033</v>
      </c>
      <c r="F10" s="10">
        <v>2034</v>
      </c>
      <c r="G10" s="10">
        <v>2035</v>
      </c>
      <c r="H10" s="10">
        <v>2036</v>
      </c>
      <c r="I10" s="10">
        <v>2037</v>
      </c>
      <c r="J10" s="3"/>
      <c r="K10" s="4"/>
      <c r="L10" s="4"/>
      <c r="M10" s="4"/>
      <c r="N10" s="4"/>
    </row>
    <row r="11" spans="1:26">
      <c r="A11" s="108"/>
      <c r="B11" s="12" t="s">
        <v>16</v>
      </c>
      <c r="C11" s="17">
        <f t="shared" ref="C11:I11" si="5">$H$4*(0.7^(C10-$H$7))+($I$6)*(0.1^(C10-$H$7))</f>
        <v>2803320.62</v>
      </c>
      <c r="D11" s="17">
        <f t="shared" si="5"/>
        <v>1914063.4339999999</v>
      </c>
      <c r="E11" s="17">
        <f t="shared" si="5"/>
        <v>1335018.3037999999</v>
      </c>
      <c r="F11" s="17">
        <f t="shared" si="5"/>
        <v>934030.20265999984</v>
      </c>
      <c r="G11" s="17">
        <f t="shared" si="5"/>
        <v>653772.88086199982</v>
      </c>
      <c r="H11" s="17">
        <f t="shared" si="5"/>
        <v>457636.19050339982</v>
      </c>
      <c r="I11" s="17">
        <f t="shared" si="5"/>
        <v>320344.85074237984</v>
      </c>
      <c r="J11" s="3"/>
      <c r="K11" s="4"/>
      <c r="L11" s="4"/>
      <c r="M11" s="4"/>
      <c r="N11" s="4"/>
    </row>
    <row r="12" spans="1:26">
      <c r="A12" s="108"/>
      <c r="B12" s="12" t="s">
        <v>17</v>
      </c>
      <c r="C12" s="18">
        <f t="shared" ref="C12:D12" si="6">F46*C11/1000</f>
        <v>670.05844095273449</v>
      </c>
      <c r="D12" s="18">
        <f t="shared" si="6"/>
        <v>462.76788245613062</v>
      </c>
      <c r="E12" s="19">
        <f>G46*E11/1000</f>
        <v>322.77069950530239</v>
      </c>
      <c r="F12" s="18">
        <f>H46*E11/1000</f>
        <v>269.20391777667578</v>
      </c>
      <c r="G12" s="20">
        <f t="shared" ref="G12:H12" si="7">H46*G11/1000</f>
        <v>131.83206579507743</v>
      </c>
      <c r="H12" s="18">
        <f t="shared" si="7"/>
        <v>89.976611090949675</v>
      </c>
      <c r="I12" s="18">
        <f>I46*I11/1000</f>
        <v>62.983532876911532</v>
      </c>
      <c r="J12" s="3"/>
      <c r="K12" s="4"/>
      <c r="L12" s="4"/>
      <c r="M12" s="4"/>
      <c r="N12" s="4"/>
    </row>
    <row r="13" spans="1:26">
      <c r="A13" s="108"/>
      <c r="B13" s="2" t="s">
        <v>14</v>
      </c>
      <c r="C13" s="10">
        <v>2038</v>
      </c>
      <c r="D13" s="10">
        <v>2039</v>
      </c>
      <c r="E13" s="10">
        <v>2040</v>
      </c>
      <c r="F13" s="10">
        <v>2041</v>
      </c>
      <c r="G13" s="10">
        <v>2042</v>
      </c>
      <c r="H13" s="10">
        <v>2043</v>
      </c>
      <c r="I13" s="10">
        <v>2044</v>
      </c>
      <c r="J13" s="3"/>
      <c r="K13" s="4"/>
      <c r="L13" s="4"/>
      <c r="M13" s="4"/>
      <c r="N13" s="4"/>
    </row>
    <row r="14" spans="1:26">
      <c r="A14" s="108"/>
      <c r="B14" s="12" t="s">
        <v>16</v>
      </c>
      <c r="C14" s="17">
        <f t="shared" ref="C14:I14" si="8">$H$4*(0.7^(C13-$H$7))+($I$6)*(0.1^(C13-$H$7))</f>
        <v>224241.34725866589</v>
      </c>
      <c r="D14" s="17">
        <f t="shared" si="8"/>
        <v>156968.93825496611</v>
      </c>
      <c r="E14" s="17">
        <f t="shared" si="8"/>
        <v>109878.25629586626</v>
      </c>
      <c r="F14" s="17">
        <f t="shared" si="8"/>
        <v>76914.779358845379</v>
      </c>
      <c r="G14" s="17">
        <f t="shared" si="8"/>
        <v>53840.345546365657</v>
      </c>
      <c r="H14" s="17">
        <f t="shared" si="8"/>
        <v>37688.24188197335</v>
      </c>
      <c r="I14" s="17">
        <f t="shared" si="8"/>
        <v>26381.769317333081</v>
      </c>
      <c r="J14" s="3"/>
      <c r="K14" s="4"/>
      <c r="L14" s="4"/>
      <c r="M14" s="4"/>
      <c r="N14" s="4"/>
    </row>
    <row r="15" spans="1:26">
      <c r="A15" s="108"/>
      <c r="B15" s="12" t="s">
        <v>17</v>
      </c>
      <c r="C15" s="18">
        <f>C48*C14/1000</f>
        <v>42.051374399780016</v>
      </c>
      <c r="D15" s="21">
        <f t="shared" ref="D15:E15" si="9">C48*D14/1000</f>
        <v>29.435961174820505</v>
      </c>
      <c r="E15" s="18">
        <f t="shared" si="9"/>
        <v>20.896052340981285</v>
      </c>
      <c r="F15" s="21">
        <f t="shared" ref="F15:G15" si="10">D48*F14/1000</f>
        <v>14.627236629508884</v>
      </c>
      <c r="G15" s="18">
        <f t="shared" si="10"/>
        <v>9.4396511883108971</v>
      </c>
      <c r="H15" s="21">
        <f t="shared" ref="H15:I15" si="11">E48*H14/1000</f>
        <v>6.6077558317330141</v>
      </c>
      <c r="I15" s="22">
        <f t="shared" si="11"/>
        <v>4.5823175776924217</v>
      </c>
      <c r="J15" s="3"/>
      <c r="K15" s="4"/>
      <c r="L15" s="4"/>
      <c r="M15" s="4"/>
      <c r="N15" s="4"/>
    </row>
    <row r="16" spans="1:26">
      <c r="A16" s="108"/>
      <c r="B16" s="2" t="s">
        <v>14</v>
      </c>
      <c r="C16" s="23">
        <v>2045</v>
      </c>
      <c r="D16" s="23">
        <v>2046</v>
      </c>
      <c r="E16" s="23">
        <v>2047</v>
      </c>
      <c r="F16" s="23">
        <v>2048</v>
      </c>
      <c r="G16" s="23">
        <v>2049</v>
      </c>
      <c r="H16" s="23">
        <v>2050</v>
      </c>
      <c r="I16" s="2" t="s">
        <v>18</v>
      </c>
      <c r="J16" s="3"/>
      <c r="K16" s="4"/>
      <c r="L16" s="4"/>
      <c r="M16" s="4"/>
      <c r="N16" s="4"/>
    </row>
    <row r="17" spans="1:16">
      <c r="A17" s="108"/>
      <c r="B17" s="12" t="s">
        <v>16</v>
      </c>
      <c r="C17" s="17">
        <f t="shared" ref="C17:H17" si="12">$H$4*(0.7^(C16-$H$7))+($I$6)*(0.1^(C16-$H$7))</f>
        <v>18467.238522128326</v>
      </c>
      <c r="D17" s="17">
        <f t="shared" si="12"/>
        <v>12927.066965489346</v>
      </c>
      <c r="E17" s="17">
        <f t="shared" si="12"/>
        <v>9048.9468758424919</v>
      </c>
      <c r="F17" s="17">
        <f t="shared" si="12"/>
        <v>6334.262813089741</v>
      </c>
      <c r="G17" s="17">
        <f t="shared" si="12"/>
        <v>4433.9839691628176</v>
      </c>
      <c r="H17" s="17">
        <f t="shared" si="12"/>
        <v>3103.7887784139721</v>
      </c>
      <c r="I17" s="13">
        <f t="shared" ref="I17:I18" si="13">SUM(I8,C11:I11,C14:I14,C17:H17)</f>
        <v>35875705.048405923</v>
      </c>
      <c r="J17" s="3"/>
      <c r="K17" s="4"/>
      <c r="L17" s="4"/>
      <c r="M17" s="4"/>
      <c r="N17" s="4"/>
    </row>
    <row r="18" spans="1:16">
      <c r="A18" s="109"/>
      <c r="B18" s="12" t="s">
        <v>17</v>
      </c>
      <c r="C18" s="22">
        <f t="shared" ref="C18:D18" si="14">F48*C17/1000</f>
        <v>3.2076223043838565</v>
      </c>
      <c r="D18" s="22">
        <f t="shared" si="14"/>
        <v>2.1897558179211636</v>
      </c>
      <c r="E18" s="22">
        <f t="shared" ref="E18:F18" si="15">G48*E17/1000</f>
        <v>1.5328290725448059</v>
      </c>
      <c r="F18" s="22">
        <f t="shared" si="15"/>
        <v>1.0083975373342915</v>
      </c>
      <c r="G18" s="22">
        <f t="shared" ref="G18:H18" si="16">H48*G17/1000</f>
        <v>0.70587827613400389</v>
      </c>
      <c r="H18" s="22">
        <f t="shared" si="16"/>
        <v>0.48325656070717476</v>
      </c>
      <c r="I18" s="13">
        <f t="shared" si="13"/>
        <v>10239.205330512899</v>
      </c>
      <c r="J18" s="3"/>
      <c r="K18" s="4"/>
      <c r="L18" s="4"/>
      <c r="M18" s="4"/>
      <c r="N18" s="4"/>
    </row>
    <row r="19" spans="1:16">
      <c r="A19" s="3"/>
      <c r="B19" s="24"/>
      <c r="C19" s="25"/>
      <c r="D19" s="26"/>
      <c r="E19" s="26"/>
      <c r="F19" s="27"/>
      <c r="G19" s="27"/>
      <c r="H19" s="27"/>
      <c r="I19" s="27"/>
      <c r="J19" s="25"/>
      <c r="K19" s="4"/>
      <c r="L19" s="4"/>
      <c r="M19" s="4"/>
      <c r="N19" s="4"/>
    </row>
    <row r="20" spans="1:16">
      <c r="A20" s="110" t="s">
        <v>19</v>
      </c>
      <c r="B20" s="2" t="s">
        <v>2</v>
      </c>
      <c r="C20" s="2" t="s">
        <v>3</v>
      </c>
      <c r="D20" s="2" t="s">
        <v>20</v>
      </c>
      <c r="E20" s="2" t="s">
        <v>21</v>
      </c>
      <c r="F20" s="2" t="s">
        <v>22</v>
      </c>
      <c r="G20" s="2" t="s">
        <v>23</v>
      </c>
      <c r="H20" s="2" t="s">
        <v>24</v>
      </c>
      <c r="I20" s="2" t="s">
        <v>25</v>
      </c>
      <c r="J20" s="3"/>
    </row>
    <row r="21" spans="1:16" ht="15.75" customHeight="1">
      <c r="A21" s="111"/>
      <c r="B21" s="5" t="s">
        <v>26</v>
      </c>
      <c r="C21" s="6">
        <f>SUM(C28:G28)</f>
        <v>4408579.3</v>
      </c>
      <c r="D21" s="28">
        <f>AVERAGE(0.49,0.57,2.67)</f>
        <v>1.2433333333333334</v>
      </c>
      <c r="E21" s="28">
        <f>AVERAGE(2.53,1.71,5.47)</f>
        <v>3.2366666666666668</v>
      </c>
      <c r="F21" s="7">
        <f>C21/E21</f>
        <v>1362073.9340885684</v>
      </c>
      <c r="G21" s="7">
        <f>C21/D21</f>
        <v>3545774.2359249326</v>
      </c>
      <c r="H21" s="7">
        <f t="shared" ref="H21:I21" si="17">F21*13.7</f>
        <v>18660412.897013385</v>
      </c>
      <c r="I21" s="7">
        <f t="shared" si="17"/>
        <v>48577107.032171577</v>
      </c>
      <c r="J21" s="3"/>
    </row>
    <row r="22" spans="1:16" ht="15.75" customHeight="1">
      <c r="A22" s="111"/>
      <c r="B22" s="2" t="s">
        <v>2</v>
      </c>
      <c r="C22" s="2" t="s">
        <v>3</v>
      </c>
      <c r="D22" s="2" t="s">
        <v>27</v>
      </c>
      <c r="E22" s="2" t="s">
        <v>28</v>
      </c>
      <c r="F22" s="2" t="s">
        <v>29</v>
      </c>
      <c r="G22" s="2" t="s">
        <v>30</v>
      </c>
      <c r="H22" s="2" t="s">
        <v>24</v>
      </c>
      <c r="I22" s="2" t="s">
        <v>25</v>
      </c>
      <c r="J22" s="3"/>
    </row>
    <row r="23" spans="1:16" ht="15.75" customHeight="1">
      <c r="A23" s="111"/>
      <c r="B23" s="5" t="s">
        <v>31</v>
      </c>
      <c r="C23" s="6">
        <f>SUM(C29:G29)</f>
        <v>9733853.3300000001</v>
      </c>
      <c r="D23" s="6">
        <v>874</v>
      </c>
      <c r="E23" s="6">
        <v>1436</v>
      </c>
      <c r="F23" s="7">
        <f>C23/E23</f>
        <v>6778.4493941504179</v>
      </c>
      <c r="G23" s="7">
        <f>C23/D23</f>
        <v>11137.13195652174</v>
      </c>
      <c r="H23" s="7">
        <f t="shared" ref="H23:I23" si="18">F23*500*13.7</f>
        <v>46432378.349930361</v>
      </c>
      <c r="I23" s="7">
        <f t="shared" si="18"/>
        <v>76289353.902173921</v>
      </c>
      <c r="J23" s="3"/>
    </row>
    <row r="24" spans="1:16" ht="15.75" customHeight="1">
      <c r="A24" s="111"/>
      <c r="B24" s="2" t="s">
        <v>2</v>
      </c>
      <c r="C24" s="2" t="s">
        <v>3</v>
      </c>
      <c r="D24" s="2" t="s">
        <v>32</v>
      </c>
      <c r="E24" s="2" t="s">
        <v>33</v>
      </c>
      <c r="F24" s="2" t="s">
        <v>34</v>
      </c>
      <c r="G24" s="2" t="s">
        <v>35</v>
      </c>
      <c r="H24" s="2" t="s">
        <v>24</v>
      </c>
      <c r="I24" s="2" t="s">
        <v>25</v>
      </c>
      <c r="J24" s="3"/>
    </row>
    <row r="25" spans="1:16" ht="15.75" customHeight="1">
      <c r="A25" s="111"/>
      <c r="B25" s="5" t="s">
        <v>36</v>
      </c>
      <c r="C25" s="6">
        <f>SUM(C30:G30)</f>
        <v>12664080</v>
      </c>
      <c r="D25" s="29">
        <v>1.71</v>
      </c>
      <c r="E25" s="30">
        <v>2.5</v>
      </c>
      <c r="F25" s="7">
        <f t="shared" ref="F25:F26" si="19">C25/E25</f>
        <v>5065632</v>
      </c>
      <c r="G25" s="7">
        <f t="shared" ref="G25:G26" si="20">C25/D25</f>
        <v>7405894.7368421052</v>
      </c>
      <c r="H25" s="7">
        <f t="shared" ref="H25:I25" si="21">F25*10^-3*1465.65</f>
        <v>7424443.5408000015</v>
      </c>
      <c r="I25" s="7">
        <f t="shared" si="21"/>
        <v>10854449.621052632</v>
      </c>
      <c r="J25" s="3"/>
      <c r="K25" s="19"/>
      <c r="L25" s="19"/>
    </row>
    <row r="26" spans="1:16" ht="15.75" customHeight="1">
      <c r="A26" s="111"/>
      <c r="B26" s="5" t="s">
        <v>37</v>
      </c>
      <c r="C26" s="6">
        <v>10000000</v>
      </c>
      <c r="D26" s="28">
        <f>AVERAGE(4,3)</f>
        <v>3.5</v>
      </c>
      <c r="E26" s="31">
        <f>AVERAGE(5,4)</f>
        <v>4.5</v>
      </c>
      <c r="F26" s="7">
        <f t="shared" si="19"/>
        <v>2222222.222222222</v>
      </c>
      <c r="G26" s="7">
        <f t="shared" si="20"/>
        <v>2857142.8571428573</v>
      </c>
      <c r="H26" s="7">
        <f t="shared" ref="H26:I26" si="22">F26*10^-3*1465.65</f>
        <v>3257000</v>
      </c>
      <c r="I26" s="7">
        <f t="shared" si="22"/>
        <v>4187571.4285714291</v>
      </c>
      <c r="J26" s="3"/>
      <c r="K26" s="19"/>
      <c r="L26" s="19"/>
    </row>
    <row r="27" spans="1:16" ht="15.75" customHeight="1">
      <c r="A27" s="111"/>
      <c r="B27" s="10" t="s">
        <v>14</v>
      </c>
      <c r="C27" s="10">
        <v>2025</v>
      </c>
      <c r="D27" s="10">
        <v>2026</v>
      </c>
      <c r="E27" s="10">
        <v>2027</v>
      </c>
      <c r="F27" s="10">
        <v>2028</v>
      </c>
      <c r="G27" s="10">
        <v>2029</v>
      </c>
      <c r="H27" s="11">
        <v>2030</v>
      </c>
      <c r="I27" s="123" t="s">
        <v>38</v>
      </c>
      <c r="J27" s="3"/>
    </row>
    <row r="28" spans="1:16" ht="15.75" customHeight="1">
      <c r="A28" s="111"/>
      <c r="B28" s="5" t="s">
        <v>26</v>
      </c>
      <c r="C28" s="32">
        <v>440857.93</v>
      </c>
      <c r="D28" s="32">
        <v>1322573.79</v>
      </c>
      <c r="E28" s="32">
        <v>1322573.79</v>
      </c>
      <c r="F28" s="32">
        <v>881715.86</v>
      </c>
      <c r="G28" s="32">
        <v>440857.93</v>
      </c>
      <c r="H28" s="2"/>
      <c r="I28" s="114"/>
      <c r="J28" s="3"/>
    </row>
    <row r="29" spans="1:16" ht="15.75" customHeight="1">
      <c r="A29" s="111"/>
      <c r="B29" s="5" t="s">
        <v>31</v>
      </c>
      <c r="C29" s="32">
        <v>973385.33</v>
      </c>
      <c r="D29" s="32">
        <v>2920156</v>
      </c>
      <c r="E29" s="32">
        <v>2920156</v>
      </c>
      <c r="F29" s="32">
        <v>1946771</v>
      </c>
      <c r="G29" s="32">
        <v>973385</v>
      </c>
      <c r="H29" s="2"/>
      <c r="I29" s="114"/>
      <c r="J29" s="3"/>
    </row>
    <row r="30" spans="1:16" ht="15.75" customHeight="1">
      <c r="A30" s="111"/>
      <c r="B30" s="5" t="s">
        <v>36</v>
      </c>
      <c r="C30" s="32">
        <v>1266408</v>
      </c>
      <c r="D30" s="32">
        <v>3799224</v>
      </c>
      <c r="E30" s="32">
        <v>3799224</v>
      </c>
      <c r="F30" s="32">
        <v>2532816</v>
      </c>
      <c r="G30" s="32">
        <v>1266408</v>
      </c>
      <c r="H30" s="2"/>
      <c r="I30" s="114"/>
      <c r="J30" s="3"/>
      <c r="K30" s="33"/>
    </row>
    <row r="31" spans="1:16" ht="15.75" customHeight="1">
      <c r="A31" s="111"/>
      <c r="B31" s="5" t="s">
        <v>37</v>
      </c>
      <c r="C31" s="32">
        <v>5000000</v>
      </c>
      <c r="D31" s="32">
        <v>5000000</v>
      </c>
      <c r="E31" s="32">
        <v>0</v>
      </c>
      <c r="F31" s="32">
        <v>0</v>
      </c>
      <c r="G31" s="32">
        <v>0</v>
      </c>
      <c r="H31" s="2"/>
      <c r="I31" s="115"/>
      <c r="J31" s="34"/>
      <c r="K31" s="33"/>
    </row>
    <row r="32" spans="1:16" ht="15.75" customHeight="1">
      <c r="A32" s="111"/>
      <c r="B32" s="35" t="s">
        <v>39</v>
      </c>
      <c r="C32" s="36">
        <f>C28/AVERAGE($D$21,$E$21)*13.7+C29/AVERAGE($D$23,$E$23)*500*13.7+C30/AVERAGE($D$25,$E$25)*10^-3*1465.65+C31/AVERAGE($D$26,$E$26)*10^-3*1465.65</f>
        <v>11183035.331645746</v>
      </c>
      <c r="D32" s="36">
        <f t="shared" ref="D32:H32" si="23">C32+D28/AVERAGE($D$21,$E$21)*13.7+D29/AVERAGE($D$23,$E$23)*500*13.7+D30/AVERAGE($D$25,$E$25)*10^-3*1465.65+D31/AVERAGE($D$26,$E$26)*10^-3*1465.65</f>
        <v>41068016.385890342</v>
      </c>
      <c r="E32" s="36">
        <f t="shared" si="23"/>
        <v>69120934.940134943</v>
      </c>
      <c r="F32" s="36">
        <f t="shared" si="23"/>
        <v>87822882.619876638</v>
      </c>
      <c r="G32" s="36">
        <f t="shared" si="23"/>
        <v>97173853.49437952</v>
      </c>
      <c r="H32" s="36">
        <f t="shared" si="23"/>
        <v>97173853.49437952</v>
      </c>
      <c r="I32" s="13">
        <f t="shared" ref="I32:I33" si="24">SUM(C32:H32)</f>
        <v>403542576.2663067</v>
      </c>
      <c r="J32" s="3"/>
      <c r="K32" s="37"/>
      <c r="L32" s="37"/>
      <c r="M32" s="37"/>
      <c r="N32" s="37"/>
      <c r="O32" s="37"/>
      <c r="P32" s="37"/>
    </row>
    <row r="33" spans="1:12" ht="15.75" customHeight="1">
      <c r="A33" s="111"/>
      <c r="B33" s="11" t="s">
        <v>17</v>
      </c>
      <c r="C33" s="38">
        <f>C32*10^-3*'CO2e Emissions Rates'!C32</f>
        <v>3930.9328695166255</v>
      </c>
      <c r="D33" s="38">
        <f>D32*10^-3*'CO2e Emissions Rates'!D32</f>
        <v>13761.666827501895</v>
      </c>
      <c r="E33" s="38">
        <f>E32*10^-3*'CO2e Emissions Rates'!E32</f>
        <v>21190.037646827965</v>
      </c>
      <c r="F33" s="38">
        <f>F32*10^-3*'CO2e Emissions Rates'!F32</f>
        <v>24417.822874013833</v>
      </c>
      <c r="G33" s="38">
        <f>G32*10^-3*'CO2e Emissions Rates'!G32</f>
        <v>25122.258198309912</v>
      </c>
      <c r="H33" s="38">
        <f>H32*10^-3*'CO2e Emissions Rates'!H32</f>
        <v>23226.797644649498</v>
      </c>
      <c r="I33" s="13">
        <f t="shared" si="24"/>
        <v>111649.51606081972</v>
      </c>
      <c r="J33" s="3"/>
      <c r="K33" s="33"/>
      <c r="L33" s="33"/>
    </row>
    <row r="34" spans="1:12" ht="15.75" customHeight="1">
      <c r="A34" s="111"/>
      <c r="B34" s="2" t="s">
        <v>14</v>
      </c>
      <c r="C34" s="2">
        <v>2031</v>
      </c>
      <c r="D34" s="2">
        <v>2032</v>
      </c>
      <c r="E34" s="2">
        <v>2033</v>
      </c>
      <c r="F34" s="2">
        <v>2034</v>
      </c>
      <c r="G34" s="2">
        <v>2035</v>
      </c>
      <c r="H34" s="2">
        <v>2036</v>
      </c>
      <c r="I34" s="2">
        <v>2037</v>
      </c>
      <c r="J34" s="3"/>
      <c r="K34" s="33"/>
    </row>
    <row r="35" spans="1:12" ht="15.75" customHeight="1">
      <c r="A35" s="111"/>
      <c r="B35" s="2" t="s">
        <v>16</v>
      </c>
      <c r="C35" s="18">
        <f t="shared" ref="C35:I35" si="25">$G$32</f>
        <v>97173853.49437952</v>
      </c>
      <c r="D35" s="18">
        <f t="shared" si="25"/>
        <v>97173853.49437952</v>
      </c>
      <c r="E35" s="18">
        <f t="shared" si="25"/>
        <v>97173853.49437952</v>
      </c>
      <c r="F35" s="18">
        <f t="shared" si="25"/>
        <v>97173853.49437952</v>
      </c>
      <c r="G35" s="18">
        <f t="shared" si="25"/>
        <v>97173853.49437952</v>
      </c>
      <c r="H35" s="18">
        <f t="shared" si="25"/>
        <v>97173853.49437952</v>
      </c>
      <c r="I35" s="18">
        <f t="shared" si="25"/>
        <v>97173853.49437952</v>
      </c>
      <c r="J35" s="3"/>
    </row>
    <row r="36" spans="1:12" ht="15.75" customHeight="1">
      <c r="A36" s="111"/>
      <c r="B36" s="2" t="s">
        <v>17</v>
      </c>
      <c r="C36" s="38">
        <f>C35*10^-3*'CO2e Emissions Rates'!G32</f>
        <v>25122.258198309912</v>
      </c>
      <c r="D36" s="38">
        <f>D35*10^-3*'CO2e Emissions Rates'!H32</f>
        <v>23226.797644649498</v>
      </c>
      <c r="E36" s="38">
        <f>E35*10^-3*'CO2e Emissions Rates'!I32</f>
        <v>23360.381083440418</v>
      </c>
      <c r="F36" s="38">
        <f>F35*10^-3*'CO2e Emissions Rates'!J32</f>
        <v>23493.964522231337</v>
      </c>
      <c r="G36" s="38">
        <f>G35*10^-3*'CO2e Emissions Rates'!K32</f>
        <v>21544.444210394933</v>
      </c>
      <c r="H36" s="38">
        <f>H35*10^-3*'CO2e Emissions Rates'!L32</f>
        <v>19594.923898558525</v>
      </c>
      <c r="I36" s="38">
        <f>I35*10^-3*'CO2e Emissions Rates'!M32</f>
        <v>19350.218271342645</v>
      </c>
      <c r="J36" s="3"/>
    </row>
    <row r="37" spans="1:12" ht="15.75" customHeight="1">
      <c r="A37" s="111"/>
      <c r="B37" s="2" t="s">
        <v>14</v>
      </c>
      <c r="C37" s="2">
        <v>2038</v>
      </c>
      <c r="D37" s="2">
        <v>2039</v>
      </c>
      <c r="E37" s="2">
        <v>2040</v>
      </c>
      <c r="F37" s="2">
        <v>2041</v>
      </c>
      <c r="G37" s="2">
        <v>2042</v>
      </c>
      <c r="H37" s="2">
        <v>2043</v>
      </c>
      <c r="I37" s="2">
        <v>2044</v>
      </c>
      <c r="J37" s="3"/>
    </row>
    <row r="38" spans="1:12" ht="15.75" customHeight="1">
      <c r="A38" s="111"/>
      <c r="B38" s="2" t="s">
        <v>16</v>
      </c>
      <c r="C38" s="18">
        <f t="shared" ref="C38:I38" si="26">$G$32</f>
        <v>97173853.49437952</v>
      </c>
      <c r="D38" s="18">
        <f t="shared" si="26"/>
        <v>97173853.49437952</v>
      </c>
      <c r="E38" s="18">
        <f t="shared" si="26"/>
        <v>97173853.49437952</v>
      </c>
      <c r="F38" s="18">
        <f t="shared" si="26"/>
        <v>97173853.49437952</v>
      </c>
      <c r="G38" s="18">
        <f t="shared" si="26"/>
        <v>97173853.49437952</v>
      </c>
      <c r="H38" s="18">
        <f t="shared" si="26"/>
        <v>97173853.49437952</v>
      </c>
      <c r="I38" s="18">
        <f t="shared" si="26"/>
        <v>97173853.49437952</v>
      </c>
      <c r="J38" s="3"/>
    </row>
    <row r="39" spans="1:12" ht="15.75" customHeight="1">
      <c r="A39" s="111"/>
      <c r="B39" s="2" t="s">
        <v>17</v>
      </c>
      <c r="C39" s="38">
        <f>C38*10^-3*'CO2e Emissions Rates'!P32</f>
        <v>18222.750376396558</v>
      </c>
      <c r="D39" s="38">
        <f>D38*10^-3*'CO2e Emissions Rates'!Q32</f>
        <v>18351.374061705126</v>
      </c>
      <c r="E39" s="38">
        <f>E38*10^-3*'CO2e Emissions Rates'!R32</f>
        <v>18479.997747013695</v>
      </c>
      <c r="F39" s="38">
        <f>F38*10^-3*'CO2e Emissions Rates'!S32</f>
        <v>17758.585374971895</v>
      </c>
      <c r="G39" s="38">
        <f>G38*10^-3*'CO2e Emissions Rates'!T32</f>
        <v>17037.1730029301</v>
      </c>
      <c r="H39" s="38">
        <f>H38*10^-3*'CO2e Emissions Rates'!U32</f>
        <v>16957.775162455448</v>
      </c>
      <c r="I39" s="38">
        <f>I38*10^-3*'CO2e Emissions Rates'!V32</f>
        <v>16878.377321980795</v>
      </c>
      <c r="J39" s="3"/>
    </row>
    <row r="40" spans="1:12" ht="15.75" customHeight="1">
      <c r="A40" s="111"/>
      <c r="B40" s="2" t="s">
        <v>14</v>
      </c>
      <c r="C40" s="23">
        <v>2045</v>
      </c>
      <c r="D40" s="23">
        <v>2046</v>
      </c>
      <c r="E40" s="23">
        <v>2047</v>
      </c>
      <c r="F40" s="23">
        <v>2048</v>
      </c>
      <c r="G40" s="23">
        <v>2049</v>
      </c>
      <c r="H40" s="23">
        <v>2050</v>
      </c>
      <c r="I40" s="39" t="s">
        <v>40</v>
      </c>
      <c r="J40" s="3"/>
    </row>
    <row r="41" spans="1:12" ht="15.75" customHeight="1">
      <c r="A41" s="111"/>
      <c r="B41" s="2" t="s">
        <v>16</v>
      </c>
      <c r="C41" s="18">
        <f t="shared" ref="C41:H41" si="27">$G$32</f>
        <v>97173853.49437952</v>
      </c>
      <c r="D41" s="18">
        <f t="shared" si="27"/>
        <v>97173853.49437952</v>
      </c>
      <c r="E41" s="18">
        <f t="shared" si="27"/>
        <v>97173853.49437952</v>
      </c>
      <c r="F41" s="18">
        <f t="shared" si="27"/>
        <v>97173853.49437952</v>
      </c>
      <c r="G41" s="18">
        <f t="shared" si="27"/>
        <v>97173853.49437952</v>
      </c>
      <c r="H41" s="18">
        <f t="shared" si="27"/>
        <v>97173853.49437952</v>
      </c>
      <c r="I41" s="13">
        <f t="shared" ref="I41:I42" si="28">SUM(I32,C35:I35,C38:I38,C41:H41)</f>
        <v>2347019646.1538973</v>
      </c>
      <c r="J41" s="3"/>
    </row>
    <row r="42" spans="1:12" ht="15.75" customHeight="1">
      <c r="A42" s="112"/>
      <c r="B42" s="2" t="s">
        <v>17</v>
      </c>
      <c r="C42" s="18">
        <f>C41*10^-3*'CO2e Emissions Rates'!W32</f>
        <v>16669.47831630052</v>
      </c>
      <c r="D42" s="18">
        <f>D41*10^-3*'CO2e Emissions Rates'!X32</f>
        <v>16460.579310620244</v>
      </c>
      <c r="E42" s="18">
        <f>E41*10^-3*'CO2e Emissions Rates'!Y32</f>
        <v>15965.197208760515</v>
      </c>
      <c r="F42" s="18">
        <f>F41*10^-3*'CO2e Emissions Rates'!Z32</f>
        <v>15469.815106900787</v>
      </c>
      <c r="G42" s="18">
        <f>G41*10^-3*'CO2e Emissions Rates'!AA32</f>
        <v>15299.839574106953</v>
      </c>
      <c r="H42" s="18">
        <f>H41*10^-3*'CO2e Emissions Rates'!AB32</f>
        <v>15129.864041313118</v>
      </c>
      <c r="I42" s="13">
        <f t="shared" si="28"/>
        <v>486023.31049520284</v>
      </c>
      <c r="J42" s="3"/>
    </row>
    <row r="43" spans="1:12" ht="15.75" customHeight="1"/>
    <row r="44" spans="1:12" ht="15.75" customHeight="1">
      <c r="A44" s="1"/>
      <c r="B44" s="1"/>
      <c r="C44" s="1"/>
      <c r="D44" s="1"/>
      <c r="E44" s="1"/>
      <c r="F44" s="1"/>
      <c r="G44" s="1"/>
      <c r="H44" s="1"/>
      <c r="I44" s="1"/>
      <c r="J44" s="1"/>
    </row>
    <row r="45" spans="1:12" ht="15" customHeight="1">
      <c r="A45" s="113" t="s">
        <v>41</v>
      </c>
      <c r="B45" s="40" t="s">
        <v>42</v>
      </c>
      <c r="C45" s="2">
        <v>2024</v>
      </c>
      <c r="D45" s="2">
        <v>2026</v>
      </c>
      <c r="E45" s="2">
        <v>2028</v>
      </c>
      <c r="F45" s="2">
        <v>2030</v>
      </c>
      <c r="G45" s="2">
        <v>2032</v>
      </c>
      <c r="H45" s="2">
        <v>2034</v>
      </c>
      <c r="I45" s="2">
        <v>2036</v>
      </c>
    </row>
    <row r="46" spans="1:12" ht="15.75" customHeight="1">
      <c r="A46" s="114"/>
      <c r="B46" s="5" t="s">
        <v>43</v>
      </c>
      <c r="C46" s="41">
        <v>0.36792265000000002</v>
      </c>
      <c r="D46" s="41">
        <v>0.33509451000000001</v>
      </c>
      <c r="E46" s="41">
        <v>0.27803485999999999</v>
      </c>
      <c r="F46" s="41">
        <v>0.23902312000000001</v>
      </c>
      <c r="G46" s="41">
        <v>0.24177249000000001</v>
      </c>
      <c r="H46" s="41">
        <v>0.20164810999999999</v>
      </c>
      <c r="I46" s="41">
        <v>0.19661165999999999</v>
      </c>
    </row>
    <row r="47" spans="1:12" ht="15.75" customHeight="1">
      <c r="A47" s="114"/>
      <c r="B47" s="40" t="s">
        <v>42</v>
      </c>
      <c r="C47" s="2">
        <v>2038</v>
      </c>
      <c r="D47" s="2">
        <v>2040</v>
      </c>
      <c r="E47" s="2">
        <v>2042</v>
      </c>
      <c r="F47" s="2">
        <v>2044</v>
      </c>
      <c r="G47" s="2">
        <v>2046</v>
      </c>
      <c r="H47" s="2">
        <v>2048</v>
      </c>
      <c r="I47" s="2">
        <v>2050</v>
      </c>
    </row>
    <row r="48" spans="1:12" ht="15.75" customHeight="1">
      <c r="A48" s="115"/>
      <c r="B48" s="5" t="s">
        <v>43</v>
      </c>
      <c r="C48" s="41">
        <v>0.18752730000000001</v>
      </c>
      <c r="D48" s="41">
        <v>0.19017459</v>
      </c>
      <c r="E48" s="41">
        <v>0.17532671999999999</v>
      </c>
      <c r="F48" s="41">
        <v>0.17369258000000001</v>
      </c>
      <c r="G48" s="41">
        <v>0.16939309</v>
      </c>
      <c r="H48" s="41">
        <v>0.15919730000000001</v>
      </c>
      <c r="I48" s="41">
        <v>0.15569891999999999</v>
      </c>
    </row>
    <row r="49" spans="1:11" ht="15.75" customHeight="1">
      <c r="A49" s="3"/>
      <c r="B49" s="24"/>
      <c r="C49" s="25"/>
      <c r="D49" s="26"/>
      <c r="E49" s="26"/>
      <c r="F49" s="27"/>
      <c r="G49" s="27"/>
      <c r="H49" s="27"/>
      <c r="I49" s="27"/>
      <c r="J49" s="3"/>
    </row>
    <row r="50" spans="1:11" ht="15.75" customHeight="1">
      <c r="A50" s="1"/>
      <c r="B50" s="1"/>
      <c r="C50" s="1"/>
      <c r="D50" s="1"/>
      <c r="E50" s="1"/>
      <c r="F50" s="1"/>
      <c r="G50" s="1"/>
      <c r="H50" s="1"/>
      <c r="I50" s="1"/>
      <c r="J50" s="1"/>
    </row>
    <row r="51" spans="1:11" ht="30" customHeight="1">
      <c r="A51" s="116" t="s">
        <v>44</v>
      </c>
      <c r="B51" s="2" t="s">
        <v>45</v>
      </c>
      <c r="C51" s="2" t="s">
        <v>46</v>
      </c>
      <c r="D51" s="2" t="s">
        <v>47</v>
      </c>
      <c r="E51" s="10" t="s">
        <v>48</v>
      </c>
      <c r="F51" s="124" t="s">
        <v>49</v>
      </c>
      <c r="G51" s="125"/>
      <c r="H51" s="3"/>
      <c r="I51" s="42"/>
      <c r="J51" s="43"/>
      <c r="K51" s="42"/>
    </row>
    <row r="52" spans="1:11" ht="21.75" customHeight="1">
      <c r="A52" s="114"/>
      <c r="B52" s="5" t="s">
        <v>1</v>
      </c>
      <c r="C52" s="44">
        <v>2558178</v>
      </c>
      <c r="D52" s="45">
        <f>0.11*I8</f>
        <v>2938901.8560000001</v>
      </c>
      <c r="E52" s="46">
        <f>C52/I9</f>
        <v>316.10370484403154</v>
      </c>
      <c r="F52" s="126">
        <f>(C52-D52)/I9</f>
        <v>-47.044506443298943</v>
      </c>
      <c r="G52" s="120"/>
      <c r="H52" s="3"/>
      <c r="I52" s="47"/>
      <c r="J52" s="48"/>
      <c r="K52" s="49"/>
    </row>
    <row r="53" spans="1:11" ht="21.75" customHeight="1">
      <c r="A53" s="115"/>
      <c r="B53" s="5" t="s">
        <v>19</v>
      </c>
      <c r="C53" s="44">
        <v>37870353</v>
      </c>
      <c r="D53" s="45">
        <f>0.1*I32</f>
        <v>40354257.626630671</v>
      </c>
      <c r="E53" s="46">
        <f>C53/I33</f>
        <v>339.18958483770393</v>
      </c>
      <c r="F53" s="126">
        <f>(C53-D53)/I32</f>
        <v>-6.1552479780757697E-3</v>
      </c>
      <c r="G53" s="120"/>
      <c r="H53" s="3"/>
    </row>
    <row r="54" spans="1:11" ht="15.75" customHeight="1">
      <c r="A54" s="3"/>
      <c r="B54" s="3"/>
      <c r="C54" s="3"/>
      <c r="D54" s="3"/>
      <c r="E54" s="3"/>
      <c r="F54" s="3"/>
      <c r="G54" s="3"/>
      <c r="H54" s="3"/>
      <c r="I54" s="3"/>
      <c r="J54" s="3"/>
    </row>
    <row r="55" spans="1:11" ht="15.75" customHeight="1"/>
    <row r="56" spans="1:11" ht="15.75" customHeight="1"/>
    <row r="57" spans="1:11" ht="15.75" customHeight="1"/>
    <row r="58" spans="1:11" ht="15.75" customHeight="1">
      <c r="B58" s="2"/>
      <c r="C58" s="2">
        <v>2025</v>
      </c>
      <c r="D58" s="2">
        <v>2026</v>
      </c>
      <c r="E58" s="2">
        <v>2027</v>
      </c>
      <c r="F58" s="2">
        <v>2028</v>
      </c>
      <c r="G58" s="2">
        <v>2029</v>
      </c>
      <c r="H58" s="2">
        <v>2030</v>
      </c>
      <c r="I58" s="2" t="s">
        <v>50</v>
      </c>
      <c r="J58" s="2" t="s">
        <v>51</v>
      </c>
    </row>
    <row r="59" spans="1:11" ht="15.75" customHeight="1">
      <c r="B59" s="2" t="s">
        <v>52</v>
      </c>
      <c r="C59" s="50">
        <f t="shared" ref="C59:H59" si="29">C8</f>
        <v>4050706.6</v>
      </c>
      <c r="D59" s="50">
        <f t="shared" si="29"/>
        <v>4211576.5999999996</v>
      </c>
      <c r="E59" s="50">
        <f t="shared" si="29"/>
        <v>4372446.5999999996</v>
      </c>
      <c r="F59" s="50">
        <f t="shared" si="29"/>
        <v>4533316.5999999996</v>
      </c>
      <c r="G59" s="50">
        <f t="shared" si="29"/>
        <v>4694186.5999999996</v>
      </c>
      <c r="H59" s="50">
        <f t="shared" si="29"/>
        <v>4855056.5999999996</v>
      </c>
      <c r="I59" s="50">
        <f t="shared" ref="I59:I67" si="30">AVERAGE(C59:H59)</f>
        <v>4452881.6000000006</v>
      </c>
      <c r="J59" s="50">
        <f t="shared" ref="J59:J67" si="31">SUM(C59:H59)</f>
        <v>26717289.600000001</v>
      </c>
    </row>
    <row r="60" spans="1:11" ht="15.75" customHeight="1">
      <c r="B60" s="2" t="s">
        <v>53</v>
      </c>
      <c r="C60" s="50">
        <f t="shared" ref="C60:H60" si="32">C32</f>
        <v>11183035.331645746</v>
      </c>
      <c r="D60" s="50">
        <f t="shared" si="32"/>
        <v>41068016.385890342</v>
      </c>
      <c r="E60" s="50">
        <f t="shared" si="32"/>
        <v>69120934.940134943</v>
      </c>
      <c r="F60" s="50">
        <f t="shared" si="32"/>
        <v>87822882.619876638</v>
      </c>
      <c r="G60" s="50">
        <f t="shared" si="32"/>
        <v>97173853.49437952</v>
      </c>
      <c r="H60" s="50">
        <f t="shared" si="32"/>
        <v>97173853.49437952</v>
      </c>
      <c r="I60" s="50">
        <f t="shared" si="30"/>
        <v>67257096.04438445</v>
      </c>
      <c r="J60" s="50">
        <f t="shared" si="31"/>
        <v>403542576.2663067</v>
      </c>
    </row>
    <row r="61" spans="1:11" ht="15.75" customHeight="1">
      <c r="B61" s="2" t="s">
        <v>54</v>
      </c>
      <c r="C61" s="50">
        <f t="shared" ref="C61:H61" si="33">C60-C63</f>
        <v>8469209.9408143964</v>
      </c>
      <c r="D61" s="50">
        <f t="shared" si="33"/>
        <v>33876839.822564922</v>
      </c>
      <c r="E61" s="50">
        <f t="shared" si="33"/>
        <v>59284469.704315469</v>
      </c>
      <c r="F61" s="50">
        <f t="shared" si="33"/>
        <v>76222891.602394432</v>
      </c>
      <c r="G61" s="50">
        <f t="shared" si="33"/>
        <v>84692099.586065978</v>
      </c>
      <c r="H61" s="50">
        <f t="shared" si="33"/>
        <v>84692099.586065978</v>
      </c>
      <c r="I61" s="50">
        <f t="shared" si="30"/>
        <v>57872935.040370196</v>
      </c>
      <c r="J61" s="50">
        <f t="shared" si="31"/>
        <v>347237610.24222118</v>
      </c>
    </row>
    <row r="62" spans="1:11" ht="15.75" customHeight="1">
      <c r="B62" s="2" t="s">
        <v>55</v>
      </c>
      <c r="C62" s="51">
        <f>C61*10^-3*'CO2e Emissions Rates'!C32</f>
        <v>2976.9999600175529</v>
      </c>
      <c r="D62" s="51">
        <f>D61*10^-3*'CO2e Emissions Rates'!D32</f>
        <v>11351.94304069088</v>
      </c>
      <c r="E62" s="51">
        <f>E61*10^-3*'CO2e Emissions Rates'!E32</f>
        <v>18174.524780295513</v>
      </c>
      <c r="F62" s="51">
        <f>F61*10^-3*'CO2e Emissions Rates'!F32</f>
        <v>21192.62099546691</v>
      </c>
      <c r="G62" s="51">
        <f>G61*10^-3*'CO2e Emissions Rates'!G32</f>
        <v>21895.362966965055</v>
      </c>
      <c r="H62" s="51">
        <f>H61*10^-3*'CO2e Emissions Rates'!H32</f>
        <v>20243.369882412197</v>
      </c>
      <c r="I62" s="51">
        <f t="shared" si="30"/>
        <v>15972.470270974683</v>
      </c>
      <c r="J62" s="51">
        <f t="shared" si="31"/>
        <v>95834.821625848097</v>
      </c>
    </row>
    <row r="63" spans="1:11" ht="15.75" customHeight="1">
      <c r="B63" s="2" t="s">
        <v>56</v>
      </c>
      <c r="C63" s="52">
        <v>2713825.3908313499</v>
      </c>
      <c r="D63" s="52">
        <v>7191176.56332542</v>
      </c>
      <c r="E63" s="50">
        <v>9836465.2358194776</v>
      </c>
      <c r="F63" s="52">
        <v>11599991.017482201</v>
      </c>
      <c r="G63" s="50">
        <v>12481753.908313539</v>
      </c>
      <c r="H63" s="50">
        <v>12481753.908313539</v>
      </c>
      <c r="I63" s="50">
        <f t="shared" si="30"/>
        <v>9384161.0040142536</v>
      </c>
      <c r="J63" s="50">
        <f t="shared" si="31"/>
        <v>56304966.024085522</v>
      </c>
    </row>
    <row r="64" spans="1:11">
      <c r="B64" s="53" t="s">
        <v>57</v>
      </c>
      <c r="C64" s="54">
        <f t="shared" ref="C64:H64" si="34">C33-C62</f>
        <v>953.93290949907259</v>
      </c>
      <c r="D64" s="54">
        <f t="shared" si="34"/>
        <v>2409.7237868110151</v>
      </c>
      <c r="E64" s="54">
        <f t="shared" si="34"/>
        <v>3015.5128665324519</v>
      </c>
      <c r="F64" s="54">
        <f t="shared" si="34"/>
        <v>3225.2018785469227</v>
      </c>
      <c r="G64" s="54">
        <f t="shared" si="34"/>
        <v>3226.8952313448572</v>
      </c>
      <c r="H64" s="54">
        <f t="shared" si="34"/>
        <v>2983.4277622373011</v>
      </c>
      <c r="I64" s="50">
        <f t="shared" si="30"/>
        <v>2635.7824058286037</v>
      </c>
      <c r="J64" s="50">
        <f t="shared" si="31"/>
        <v>15814.694434971621</v>
      </c>
    </row>
    <row r="65" spans="2:10">
      <c r="B65" s="53" t="s">
        <v>58</v>
      </c>
      <c r="C65" s="55">
        <f t="shared" ref="C65:H65" si="35">C59*0.11</f>
        <v>445577.72600000002</v>
      </c>
      <c r="D65" s="55">
        <f t="shared" si="35"/>
        <v>463273.42599999998</v>
      </c>
      <c r="E65" s="55">
        <f t="shared" si="35"/>
        <v>480969.12599999999</v>
      </c>
      <c r="F65" s="55">
        <f t="shared" si="35"/>
        <v>498664.82599999994</v>
      </c>
      <c r="G65" s="55">
        <f t="shared" si="35"/>
        <v>516360.52599999995</v>
      </c>
      <c r="H65" s="55">
        <f t="shared" si="35"/>
        <v>534056.22599999991</v>
      </c>
      <c r="I65" s="56">
        <f t="shared" si="30"/>
        <v>489816.97599999997</v>
      </c>
      <c r="J65" s="56">
        <f t="shared" si="31"/>
        <v>2938901.8559999997</v>
      </c>
    </row>
    <row r="66" spans="2:10">
      <c r="B66" s="53" t="s">
        <v>59</v>
      </c>
      <c r="C66" s="55">
        <f t="shared" ref="C66:H66" si="36">C61*0.11</f>
        <v>931613.09348958358</v>
      </c>
      <c r="D66" s="55">
        <f t="shared" si="36"/>
        <v>3726452.3804821414</v>
      </c>
      <c r="E66" s="55">
        <f t="shared" si="36"/>
        <v>6521291.667474702</v>
      </c>
      <c r="F66" s="55">
        <f t="shared" si="36"/>
        <v>8384518.0762633877</v>
      </c>
      <c r="G66" s="55">
        <f t="shared" si="36"/>
        <v>9316130.9544672575</v>
      </c>
      <c r="H66" s="55">
        <f t="shared" si="36"/>
        <v>9316130.9544672575</v>
      </c>
      <c r="I66" s="56">
        <f t="shared" si="30"/>
        <v>6366022.8544407217</v>
      </c>
      <c r="J66" s="56">
        <f t="shared" si="31"/>
        <v>38196137.126644328</v>
      </c>
    </row>
    <row r="67" spans="2:10" ht="15.75" customHeight="1">
      <c r="B67" s="53" t="s">
        <v>60</v>
      </c>
      <c r="C67" s="55">
        <f t="shared" ref="C67:H67" si="37">C63*0.11</f>
        <v>298520.79299144848</v>
      </c>
      <c r="D67" s="55">
        <f t="shared" si="37"/>
        <v>791029.42196579615</v>
      </c>
      <c r="E67" s="55">
        <f t="shared" si="37"/>
        <v>1082011.1759401425</v>
      </c>
      <c r="F67" s="55">
        <f t="shared" si="37"/>
        <v>1275999.0119230421</v>
      </c>
      <c r="G67" s="55">
        <f t="shared" si="37"/>
        <v>1372992.9299144894</v>
      </c>
      <c r="H67" s="55">
        <f t="shared" si="37"/>
        <v>1372992.9299144894</v>
      </c>
      <c r="I67" s="56">
        <f t="shared" si="30"/>
        <v>1032257.7104415679</v>
      </c>
      <c r="J67" s="56">
        <f t="shared" si="31"/>
        <v>6193546.2626494076</v>
      </c>
    </row>
    <row r="68" spans="2:10" ht="15.75" customHeight="1"/>
    <row r="69" spans="2:10" ht="15.75" customHeight="1">
      <c r="C69" s="2">
        <v>2031</v>
      </c>
      <c r="D69" s="2">
        <v>2032</v>
      </c>
      <c r="E69" s="2">
        <v>2033</v>
      </c>
      <c r="F69" s="2">
        <v>2034</v>
      </c>
      <c r="G69" s="2">
        <v>2035</v>
      </c>
      <c r="H69" s="2">
        <v>2036</v>
      </c>
    </row>
    <row r="70" spans="2:10" ht="15.75" customHeight="1">
      <c r="B70" s="2" t="s">
        <v>52</v>
      </c>
      <c r="C70" s="57">
        <f t="shared" ref="C70:H70" si="38">C11</f>
        <v>2803320.62</v>
      </c>
      <c r="D70" s="57">
        <f t="shared" si="38"/>
        <v>1914063.4339999999</v>
      </c>
      <c r="E70" s="57">
        <f t="shared" si="38"/>
        <v>1335018.3037999999</v>
      </c>
      <c r="F70" s="57">
        <f t="shared" si="38"/>
        <v>934030.20265999984</v>
      </c>
      <c r="G70" s="57">
        <f t="shared" si="38"/>
        <v>653772.88086199982</v>
      </c>
      <c r="H70" s="57">
        <f t="shared" si="38"/>
        <v>457636.19050339982</v>
      </c>
    </row>
    <row r="71" spans="2:10" ht="15.75" customHeight="1">
      <c r="B71" s="2" t="s">
        <v>53</v>
      </c>
      <c r="C71" s="58">
        <f t="shared" ref="C71:H71" si="39">C35</f>
        <v>97173853.49437952</v>
      </c>
      <c r="D71" s="58">
        <f t="shared" si="39"/>
        <v>97173853.49437952</v>
      </c>
      <c r="E71" s="58">
        <f t="shared" si="39"/>
        <v>97173853.49437952</v>
      </c>
      <c r="F71" s="58">
        <f t="shared" si="39"/>
        <v>97173853.49437952</v>
      </c>
      <c r="G71" s="58">
        <f t="shared" si="39"/>
        <v>97173853.49437952</v>
      </c>
      <c r="H71" s="58">
        <f t="shared" si="39"/>
        <v>97173853.49437952</v>
      </c>
    </row>
    <row r="72" spans="2:10" ht="15.75" customHeight="1">
      <c r="B72" s="2" t="s">
        <v>54</v>
      </c>
      <c r="C72" s="58">
        <f t="shared" ref="C72:H72" si="40">C71-C74</f>
        <v>84692099.586066023</v>
      </c>
      <c r="D72" s="58">
        <f t="shared" si="40"/>
        <v>84692099.586066023</v>
      </c>
      <c r="E72" s="58">
        <f t="shared" si="40"/>
        <v>84692099.586065978</v>
      </c>
      <c r="F72" s="58">
        <f t="shared" si="40"/>
        <v>84692099.586065978</v>
      </c>
      <c r="G72" s="58">
        <f t="shared" si="40"/>
        <v>84692099.586065978</v>
      </c>
      <c r="H72" s="58">
        <f t="shared" si="40"/>
        <v>84692099.586065978</v>
      </c>
    </row>
    <row r="73" spans="2:10" ht="15.75" customHeight="1">
      <c r="B73" s="2" t="s">
        <v>55</v>
      </c>
      <c r="C73" s="59">
        <f>C72*10^-3*'CO2e Emissions Rates'!I32</f>
        <v>20359.794841331681</v>
      </c>
      <c r="D73" s="59">
        <f>D72*10^-3*'CO2e Emissions Rates'!J32</f>
        <v>20476.21980025115</v>
      </c>
      <c r="E73" s="59">
        <f>E72*10^-3*'CO2e Emissions Rates'!K32</f>
        <v>18777.110806856563</v>
      </c>
      <c r="F73" s="59">
        <f>F72*10^-3*'CO2e Emissions Rates'!L32</f>
        <v>17078.001813461986</v>
      </c>
      <c r="G73" s="59">
        <f>G72*10^-3*'CO2e Emissions Rates'!M32</f>
        <v>16864.728050981867</v>
      </c>
      <c r="H73" s="59">
        <f>H72*10^-3*'CO2e Emissions Rates'!N32</f>
        <v>16651.454288501744</v>
      </c>
    </row>
    <row r="74" spans="2:10" ht="15.75" customHeight="1">
      <c r="B74" s="2" t="s">
        <v>56</v>
      </c>
      <c r="C74" s="60">
        <v>12481753.9083135</v>
      </c>
      <c r="D74" s="60">
        <v>12481753.9083135</v>
      </c>
      <c r="E74" s="59">
        <v>12481753.908313539</v>
      </c>
      <c r="F74" s="59">
        <v>12481753.908313539</v>
      </c>
      <c r="G74" s="59">
        <v>12481753.908313539</v>
      </c>
      <c r="H74" s="59">
        <v>12481753.908313539</v>
      </c>
    </row>
    <row r="75" spans="2:10" ht="15.75" customHeight="1">
      <c r="B75" s="53" t="s">
        <v>57</v>
      </c>
      <c r="C75" s="61">
        <f t="shared" ref="C75:H75" si="41">C36-C73</f>
        <v>4762.4633569782309</v>
      </c>
      <c r="D75" s="61">
        <f t="shared" si="41"/>
        <v>2750.5778443983472</v>
      </c>
      <c r="E75" s="61">
        <f t="shared" si="41"/>
        <v>4583.2702765838549</v>
      </c>
      <c r="F75" s="61">
        <f t="shared" si="41"/>
        <v>6415.9627087693516</v>
      </c>
      <c r="G75" s="61">
        <f t="shared" si="41"/>
        <v>4679.7161594130666</v>
      </c>
      <c r="H75" s="61">
        <f t="shared" si="41"/>
        <v>2943.4696100567817</v>
      </c>
    </row>
    <row r="76" spans="2:10" ht="15.75" customHeight="1">
      <c r="B76" s="53" t="s">
        <v>58</v>
      </c>
      <c r="C76" s="55">
        <f t="shared" ref="C76:H76" si="42">C70*0.11</f>
        <v>308365.26819999999</v>
      </c>
      <c r="D76" s="55">
        <f t="shared" si="42"/>
        <v>210546.97774</v>
      </c>
      <c r="E76" s="55">
        <f t="shared" si="42"/>
        <v>146852.01341799999</v>
      </c>
      <c r="F76" s="55">
        <f t="shared" si="42"/>
        <v>102743.32229259999</v>
      </c>
      <c r="G76" s="55">
        <f t="shared" si="42"/>
        <v>71915.016894819986</v>
      </c>
      <c r="H76" s="55">
        <f t="shared" si="42"/>
        <v>50339.980955373983</v>
      </c>
    </row>
    <row r="77" spans="2:10" ht="15.75" customHeight="1">
      <c r="B77" s="53" t="s">
        <v>59</v>
      </c>
      <c r="C77" s="55">
        <f t="shared" ref="C77:H77" si="43">C72*0.11</f>
        <v>9316130.9544672631</v>
      </c>
      <c r="D77" s="55">
        <f t="shared" si="43"/>
        <v>9316130.9544672631</v>
      </c>
      <c r="E77" s="55">
        <f t="shared" si="43"/>
        <v>9316130.9544672575</v>
      </c>
      <c r="F77" s="55">
        <f t="shared" si="43"/>
        <v>9316130.9544672575</v>
      </c>
      <c r="G77" s="55">
        <f t="shared" si="43"/>
        <v>9316130.9544672575</v>
      </c>
      <c r="H77" s="55">
        <f t="shared" si="43"/>
        <v>9316130.9544672575</v>
      </c>
    </row>
    <row r="78" spans="2:10" ht="15.75" customHeight="1">
      <c r="B78" s="53" t="s">
        <v>60</v>
      </c>
      <c r="C78" s="55">
        <f t="shared" ref="C78:H78" si="44">C74*0.11</f>
        <v>1372992.929914485</v>
      </c>
      <c r="D78" s="55">
        <f t="shared" si="44"/>
        <v>1372992.929914485</v>
      </c>
      <c r="E78" s="55">
        <f t="shared" si="44"/>
        <v>1372992.9299144894</v>
      </c>
      <c r="F78" s="55">
        <f t="shared" si="44"/>
        <v>1372992.9299144894</v>
      </c>
      <c r="G78" s="55">
        <f t="shared" si="44"/>
        <v>1372992.9299144894</v>
      </c>
      <c r="H78" s="55">
        <f t="shared" si="44"/>
        <v>1372992.9299144894</v>
      </c>
    </row>
    <row r="79" spans="2:10" ht="15.75" customHeight="1">
      <c r="C79" s="2">
        <v>2037</v>
      </c>
      <c r="D79" s="2">
        <v>2038</v>
      </c>
      <c r="E79" s="2">
        <v>2039</v>
      </c>
      <c r="F79" s="2">
        <v>2040</v>
      </c>
      <c r="G79" s="2">
        <v>2041</v>
      </c>
      <c r="H79" s="2">
        <v>2042</v>
      </c>
    </row>
    <row r="80" spans="2:10" ht="15.75" customHeight="1">
      <c r="B80" s="2" t="s">
        <v>52</v>
      </c>
      <c r="C80" s="57">
        <f>I11</f>
        <v>320344.85074237984</v>
      </c>
      <c r="D80" s="57">
        <f t="shared" ref="D80:H80" si="45">C14</f>
        <v>224241.34725866589</v>
      </c>
      <c r="E80" s="57">
        <f t="shared" si="45"/>
        <v>156968.93825496611</v>
      </c>
      <c r="F80" s="57">
        <f t="shared" si="45"/>
        <v>109878.25629586626</v>
      </c>
      <c r="G80" s="57">
        <f t="shared" si="45"/>
        <v>76914.779358845379</v>
      </c>
      <c r="H80" s="57">
        <f t="shared" si="45"/>
        <v>53840.345546365657</v>
      </c>
    </row>
    <row r="81" spans="2:8" ht="15.75" customHeight="1">
      <c r="B81" s="2" t="s">
        <v>53</v>
      </c>
      <c r="C81" s="58">
        <f>I35</f>
        <v>97173853.49437952</v>
      </c>
      <c r="D81" s="58">
        <f t="shared" ref="D81:H81" si="46">C38</f>
        <v>97173853.49437952</v>
      </c>
      <c r="E81" s="58">
        <f t="shared" si="46"/>
        <v>97173853.49437952</v>
      </c>
      <c r="F81" s="58">
        <f t="shared" si="46"/>
        <v>97173853.49437952</v>
      </c>
      <c r="G81" s="58">
        <f t="shared" si="46"/>
        <v>97173853.49437952</v>
      </c>
      <c r="H81" s="58">
        <f t="shared" si="46"/>
        <v>97173853.49437952</v>
      </c>
    </row>
    <row r="82" spans="2:8" ht="15.75" customHeight="1">
      <c r="B82" s="2" t="s">
        <v>54</v>
      </c>
      <c r="C82" s="58">
        <f t="shared" ref="C82:H82" si="47">C81-C84</f>
        <v>84692099.586065978</v>
      </c>
      <c r="D82" s="58">
        <f t="shared" si="47"/>
        <v>84692099.586065978</v>
      </c>
      <c r="E82" s="58">
        <f t="shared" si="47"/>
        <v>84692099.586065978</v>
      </c>
      <c r="F82" s="58">
        <f t="shared" si="47"/>
        <v>84692099.586065978</v>
      </c>
      <c r="G82" s="58">
        <f t="shared" si="47"/>
        <v>84692099.586065978</v>
      </c>
      <c r="H82" s="58">
        <f t="shared" si="47"/>
        <v>84692099.586065978</v>
      </c>
    </row>
    <row r="83" spans="2:8" ht="15.75" customHeight="1">
      <c r="B83" s="2" t="s">
        <v>55</v>
      </c>
      <c r="C83" s="59">
        <f>C82*10^-3*'CO2e Emissions Rates'!O32</f>
        <v>16266.767527603908</v>
      </c>
      <c r="D83" s="59">
        <f>D82*10^-3*'CO2e Emissions Rates'!P32</f>
        <v>15882.080766706071</v>
      </c>
      <c r="E83" s="59">
        <f>E82*10^-3*'CO2e Emissions Rates'!Q32</f>
        <v>15994.183040862668</v>
      </c>
      <c r="F83" s="59">
        <f>F82*10^-3*'CO2e Emissions Rates'!R32</f>
        <v>16106.285315019268</v>
      </c>
      <c r="G83" s="59">
        <f>G82*10^-3*'CO2e Emissions Rates'!S32</f>
        <v>15477.536672678785</v>
      </c>
      <c r="H83" s="59">
        <f>H82*10^-3*'CO2e Emissions Rates'!T32</f>
        <v>14848.788030338304</v>
      </c>
    </row>
    <row r="84" spans="2:8" ht="15.75" customHeight="1">
      <c r="B84" s="2" t="s">
        <v>56</v>
      </c>
      <c r="C84" s="59">
        <v>12481753.908313539</v>
      </c>
      <c r="D84" s="59">
        <v>12481753.908313539</v>
      </c>
      <c r="E84" s="59">
        <v>12481753.908313539</v>
      </c>
      <c r="F84" s="59">
        <v>12481753.908313539</v>
      </c>
      <c r="G84" s="59">
        <v>12481753.908313539</v>
      </c>
      <c r="H84" s="59">
        <v>12481753.908313539</v>
      </c>
    </row>
    <row r="85" spans="2:8" ht="15.75" customHeight="1">
      <c r="B85" s="53" t="s">
        <v>57</v>
      </c>
      <c r="C85" s="61">
        <f>I36-C83</f>
        <v>3083.4507437387365</v>
      </c>
      <c r="D85" s="61">
        <f t="shared" ref="D85:H85" si="48">C39-D83</f>
        <v>2340.6696096904871</v>
      </c>
      <c r="E85" s="61">
        <f t="shared" si="48"/>
        <v>2357.1910208424579</v>
      </c>
      <c r="F85" s="61">
        <f t="shared" si="48"/>
        <v>2373.7124319944269</v>
      </c>
      <c r="G85" s="61">
        <f t="shared" si="48"/>
        <v>2281.0487022931102</v>
      </c>
      <c r="H85" s="61">
        <f t="shared" si="48"/>
        <v>2188.3849725917953</v>
      </c>
    </row>
    <row r="86" spans="2:8" ht="15.75" customHeight="1">
      <c r="B86" s="53" t="s">
        <v>58</v>
      </c>
      <c r="C86" s="55">
        <f t="shared" ref="C86:H86" si="49">C80*0.11</f>
        <v>35237.933581661782</v>
      </c>
      <c r="D86" s="55">
        <f t="shared" si="49"/>
        <v>24666.548198453249</v>
      </c>
      <c r="E86" s="55">
        <f t="shared" si="49"/>
        <v>17266.583208046271</v>
      </c>
      <c r="F86" s="55">
        <f t="shared" si="49"/>
        <v>12086.608192545289</v>
      </c>
      <c r="G86" s="55">
        <f t="shared" si="49"/>
        <v>8460.6257294729912</v>
      </c>
      <c r="H86" s="55">
        <f t="shared" si="49"/>
        <v>5922.4380101002225</v>
      </c>
    </row>
    <row r="87" spans="2:8" ht="15.75" customHeight="1">
      <c r="B87" s="53" t="s">
        <v>59</v>
      </c>
      <c r="C87" s="55">
        <f t="shared" ref="C87:H87" si="50">C82*0.11</f>
        <v>9316130.9544672575</v>
      </c>
      <c r="D87" s="55">
        <f t="shared" si="50"/>
        <v>9316130.9544672575</v>
      </c>
      <c r="E87" s="55">
        <f t="shared" si="50"/>
        <v>9316130.9544672575</v>
      </c>
      <c r="F87" s="55">
        <f t="shared" si="50"/>
        <v>9316130.9544672575</v>
      </c>
      <c r="G87" s="55">
        <f t="shared" si="50"/>
        <v>9316130.9544672575</v>
      </c>
      <c r="H87" s="55">
        <f t="shared" si="50"/>
        <v>9316130.9544672575</v>
      </c>
    </row>
    <row r="88" spans="2:8" ht="15.75" customHeight="1">
      <c r="B88" s="53" t="s">
        <v>60</v>
      </c>
      <c r="C88" s="55">
        <f t="shared" ref="C88:H88" si="51">C84*0.11</f>
        <v>1372992.9299144894</v>
      </c>
      <c r="D88" s="55">
        <f t="shared" si="51"/>
        <v>1372992.9299144894</v>
      </c>
      <c r="E88" s="55">
        <f t="shared" si="51"/>
        <v>1372992.9299144894</v>
      </c>
      <c r="F88" s="55">
        <f t="shared" si="51"/>
        <v>1372992.9299144894</v>
      </c>
      <c r="G88" s="55">
        <f t="shared" si="51"/>
        <v>1372992.9299144894</v>
      </c>
      <c r="H88" s="55">
        <f t="shared" si="51"/>
        <v>1372992.9299144894</v>
      </c>
    </row>
    <row r="89" spans="2:8" ht="15.75" customHeight="1">
      <c r="C89" s="2">
        <v>2043</v>
      </c>
      <c r="D89" s="2">
        <v>2044</v>
      </c>
      <c r="E89" s="2">
        <v>2045</v>
      </c>
      <c r="F89" s="2">
        <v>2046</v>
      </c>
      <c r="G89" s="2">
        <v>2047</v>
      </c>
      <c r="H89" s="2">
        <v>2048</v>
      </c>
    </row>
    <row r="90" spans="2:8" ht="15.75" customHeight="1">
      <c r="B90" s="2" t="s">
        <v>52</v>
      </c>
      <c r="C90" s="57">
        <f t="shared" ref="C90:D90" si="52">H14</f>
        <v>37688.24188197335</v>
      </c>
      <c r="D90" s="57">
        <f t="shared" si="52"/>
        <v>26381.769317333081</v>
      </c>
      <c r="E90" s="57">
        <f t="shared" ref="E90:H90" si="53">C17</f>
        <v>18467.238522128326</v>
      </c>
      <c r="F90" s="57">
        <f t="shared" si="53"/>
        <v>12927.066965489346</v>
      </c>
      <c r="G90" s="57">
        <f t="shared" si="53"/>
        <v>9048.9468758424919</v>
      </c>
      <c r="H90" s="57">
        <f t="shared" si="53"/>
        <v>6334.262813089741</v>
      </c>
    </row>
    <row r="91" spans="2:8" ht="15.75" customHeight="1">
      <c r="B91" s="2" t="s">
        <v>53</v>
      </c>
      <c r="C91" s="58">
        <f t="shared" ref="C91:D91" si="54">H38</f>
        <v>97173853.49437952</v>
      </c>
      <c r="D91" s="58">
        <f t="shared" si="54"/>
        <v>97173853.49437952</v>
      </c>
      <c r="E91" s="58">
        <f t="shared" ref="E91:H91" si="55">C41</f>
        <v>97173853.49437952</v>
      </c>
      <c r="F91" s="58">
        <f t="shared" si="55"/>
        <v>97173853.49437952</v>
      </c>
      <c r="G91" s="58">
        <f t="shared" si="55"/>
        <v>97173853.49437952</v>
      </c>
      <c r="H91" s="58">
        <f t="shared" si="55"/>
        <v>97173853.49437952</v>
      </c>
    </row>
    <row r="92" spans="2:8" ht="15.75" customHeight="1">
      <c r="B92" s="2" t="s">
        <v>54</v>
      </c>
      <c r="C92" s="58">
        <f t="shared" ref="C92:H92" si="56">C91-C94</f>
        <v>84692099.586065978</v>
      </c>
      <c r="D92" s="58">
        <f t="shared" si="56"/>
        <v>84692099.586065978</v>
      </c>
      <c r="E92" s="58">
        <f t="shared" si="56"/>
        <v>84692099.586065978</v>
      </c>
      <c r="F92" s="58">
        <f t="shared" si="56"/>
        <v>84692099.586065978</v>
      </c>
      <c r="G92" s="58">
        <f t="shared" si="56"/>
        <v>84692099.586065978</v>
      </c>
      <c r="H92" s="58">
        <f t="shared" si="56"/>
        <v>84692099.586065978</v>
      </c>
    </row>
    <row r="93" spans="2:8" ht="15.75" customHeight="1">
      <c r="B93" s="2" t="s">
        <v>55</v>
      </c>
      <c r="C93" s="59">
        <f>C92*10^-3*'CO2e Emissions Rates'!U32</f>
        <v>14779.58865652952</v>
      </c>
      <c r="D93" s="59">
        <f>D92*10^-3*'CO2e Emissions Rates'!V32</f>
        <v>14710.389282720733</v>
      </c>
      <c r="E93" s="59">
        <f>E92*10^-3*'CO2e Emissions Rates'!W32</f>
        <v>14528.322865096085</v>
      </c>
      <c r="F93" s="59">
        <f>F92*10^-3*'CO2e Emissions Rates'!X32</f>
        <v>14346.256447471436</v>
      </c>
      <c r="G93" s="59">
        <f>G92*10^-3*'CO2e Emissions Rates'!Y32</f>
        <v>13914.505016452129</v>
      </c>
      <c r="H93" s="59">
        <f>H92*10^-3*'CO2e Emissions Rates'!Z32</f>
        <v>13482.753585432822</v>
      </c>
    </row>
    <row r="94" spans="2:8" ht="15.75" customHeight="1">
      <c r="B94" s="2" t="s">
        <v>56</v>
      </c>
      <c r="C94" s="59">
        <v>12481753.908313539</v>
      </c>
      <c r="D94" s="59">
        <v>12481753.908313539</v>
      </c>
      <c r="E94" s="59">
        <v>12481753.908313539</v>
      </c>
      <c r="F94" s="59">
        <v>12481753.908313539</v>
      </c>
      <c r="G94" s="59">
        <v>12481753.908313539</v>
      </c>
      <c r="H94" s="59">
        <v>12481753.908313539</v>
      </c>
    </row>
    <row r="95" spans="2:8" ht="15.75" customHeight="1">
      <c r="B95" s="53" t="s">
        <v>57</v>
      </c>
      <c r="C95" s="61">
        <f t="shared" ref="C95:D95" si="57">H39-C93</f>
        <v>2178.1865059259271</v>
      </c>
      <c r="D95" s="61">
        <f t="shared" si="57"/>
        <v>2167.9880392600626</v>
      </c>
      <c r="E95" s="61">
        <f t="shared" ref="E95:H95" si="58">C42-E93</f>
        <v>2141.1554512044349</v>
      </c>
      <c r="F95" s="61">
        <f t="shared" si="58"/>
        <v>2114.3228631488073</v>
      </c>
      <c r="G95" s="61">
        <f t="shared" si="58"/>
        <v>2050.6921923083864</v>
      </c>
      <c r="H95" s="61">
        <f t="shared" si="58"/>
        <v>1987.0615214679656</v>
      </c>
    </row>
    <row r="96" spans="2:8" ht="15.75" customHeight="1">
      <c r="B96" s="53" t="s">
        <v>58</v>
      </c>
      <c r="C96" s="55">
        <f t="shared" ref="C96:H96" si="59">C90*0.11</f>
        <v>4145.7066070170686</v>
      </c>
      <c r="D96" s="55">
        <f t="shared" si="59"/>
        <v>2901.9946249066388</v>
      </c>
      <c r="E96" s="55">
        <f t="shared" si="59"/>
        <v>2031.3962374341158</v>
      </c>
      <c r="F96" s="55">
        <f t="shared" si="59"/>
        <v>1421.9773662038281</v>
      </c>
      <c r="G96" s="55">
        <f t="shared" si="59"/>
        <v>995.38415634267415</v>
      </c>
      <c r="H96" s="55">
        <f t="shared" si="59"/>
        <v>696.76890943987155</v>
      </c>
    </row>
    <row r="97" spans="2:8" ht="15.75" customHeight="1">
      <c r="B97" s="53" t="s">
        <v>59</v>
      </c>
      <c r="C97" s="55">
        <f t="shared" ref="C97:H97" si="60">C92*0.11</f>
        <v>9316130.9544672575</v>
      </c>
      <c r="D97" s="55">
        <f t="shared" si="60"/>
        <v>9316130.9544672575</v>
      </c>
      <c r="E97" s="55">
        <f t="shared" si="60"/>
        <v>9316130.9544672575</v>
      </c>
      <c r="F97" s="55">
        <f t="shared" si="60"/>
        <v>9316130.9544672575</v>
      </c>
      <c r="G97" s="55">
        <f t="shared" si="60"/>
        <v>9316130.9544672575</v>
      </c>
      <c r="H97" s="55">
        <f t="shared" si="60"/>
        <v>9316130.9544672575</v>
      </c>
    </row>
    <row r="98" spans="2:8" ht="15.75" customHeight="1">
      <c r="B98" s="53" t="s">
        <v>60</v>
      </c>
      <c r="C98" s="55">
        <f t="shared" ref="C98:H98" si="61">C94*0.11</f>
        <v>1372992.9299144894</v>
      </c>
      <c r="D98" s="55">
        <f t="shared" si="61"/>
        <v>1372992.9299144894</v>
      </c>
      <c r="E98" s="55">
        <f t="shared" si="61"/>
        <v>1372992.9299144894</v>
      </c>
      <c r="F98" s="55">
        <f t="shared" si="61"/>
        <v>1372992.9299144894</v>
      </c>
      <c r="G98" s="55">
        <f t="shared" si="61"/>
        <v>1372992.9299144894</v>
      </c>
      <c r="H98" s="55">
        <f t="shared" si="61"/>
        <v>1372992.9299144894</v>
      </c>
    </row>
    <row r="99" spans="2:8" ht="15.75" customHeight="1">
      <c r="C99" s="2">
        <v>2049</v>
      </c>
      <c r="D99" s="2">
        <v>2050</v>
      </c>
      <c r="E99" s="119" t="s">
        <v>61</v>
      </c>
      <c r="F99" s="120"/>
      <c r="G99" s="119" t="s">
        <v>62</v>
      </c>
      <c r="H99" s="120"/>
    </row>
    <row r="100" spans="2:8" ht="15.75" customHeight="1">
      <c r="B100" s="2" t="s">
        <v>52</v>
      </c>
      <c r="C100" s="57">
        <f t="shared" ref="C100:D100" si="62">G17</f>
        <v>4433.9839691628176</v>
      </c>
      <c r="D100" s="57">
        <f t="shared" si="62"/>
        <v>3103.7887784139721</v>
      </c>
      <c r="E100" s="127">
        <f t="shared" ref="E100:E108" si="63">AVERAGE(C59:H59,C70:H70,C80:H80,C90:H90,C100:D100)</f>
        <v>1379834.809554074</v>
      </c>
      <c r="F100" s="120"/>
      <c r="G100" s="127">
        <f t="shared" ref="G100:G108" si="64">SUM(C59:H59,C70:H70,C80:H80,C90:H90,C100:D100)</f>
        <v>35875705.048405923</v>
      </c>
      <c r="H100" s="120"/>
    </row>
    <row r="101" spans="2:8" ht="15.75" customHeight="1">
      <c r="B101" s="2" t="s">
        <v>53</v>
      </c>
      <c r="C101" s="58">
        <f t="shared" ref="C101:D101" si="65">G41</f>
        <v>97173853.49437952</v>
      </c>
      <c r="D101" s="58">
        <f t="shared" si="65"/>
        <v>97173853.49437952</v>
      </c>
      <c r="E101" s="127">
        <f t="shared" si="63"/>
        <v>90269986.390534505</v>
      </c>
      <c r="F101" s="120"/>
      <c r="G101" s="127">
        <f t="shared" si="64"/>
        <v>2347019646.1538973</v>
      </c>
      <c r="H101" s="120"/>
    </row>
    <row r="102" spans="2:8" ht="15.75" customHeight="1">
      <c r="B102" s="2" t="s">
        <v>54</v>
      </c>
      <c r="C102" s="58">
        <f t="shared" ref="C102:D102" si="66">C101-C104</f>
        <v>84692099.586065978</v>
      </c>
      <c r="D102" s="58">
        <f t="shared" si="66"/>
        <v>84692099.586065978</v>
      </c>
      <c r="E102" s="127">
        <f t="shared" si="63"/>
        <v>78503061.61398235</v>
      </c>
      <c r="F102" s="120"/>
      <c r="G102" s="127">
        <f t="shared" si="64"/>
        <v>2041079601.9635413</v>
      </c>
      <c r="H102" s="120"/>
    </row>
    <row r="103" spans="2:8" ht="15.75" customHeight="1">
      <c r="B103" s="2" t="s">
        <v>55</v>
      </c>
      <c r="C103" s="59">
        <f>C102*10^-3*'CO2e Emissions Rates'!AA32</f>
        <v>13334.61101175787</v>
      </c>
      <c r="D103" s="59">
        <f>D102*10^-3*'CO2e Emissions Rates'!AB32</f>
        <v>13186.468438082919</v>
      </c>
      <c r="E103" s="128">
        <f t="shared" si="63"/>
        <v>15880.794918614829</v>
      </c>
      <c r="F103" s="120"/>
      <c r="G103" s="128">
        <f t="shared" si="64"/>
        <v>412900.66788398556</v>
      </c>
      <c r="H103" s="120"/>
    </row>
    <row r="104" spans="2:8" ht="15.75" customHeight="1">
      <c r="B104" s="2" t="s">
        <v>56</v>
      </c>
      <c r="C104" s="59">
        <v>12481753.908313539</v>
      </c>
      <c r="D104" s="59">
        <v>12481753.908313539</v>
      </c>
      <c r="E104" s="127">
        <f t="shared" si="63"/>
        <v>11766924.776552161</v>
      </c>
      <c r="F104" s="120"/>
      <c r="G104" s="127">
        <f t="shared" si="64"/>
        <v>305940044.19035619</v>
      </c>
      <c r="H104" s="120"/>
    </row>
    <row r="105" spans="2:8" ht="15.75" customHeight="1">
      <c r="B105" s="53" t="s">
        <v>57</v>
      </c>
      <c r="C105" s="61">
        <f t="shared" ref="C105:D105" si="67">G42-C103</f>
        <v>1965.2285623490825</v>
      </c>
      <c r="D105" s="61">
        <f t="shared" si="67"/>
        <v>1943.3956032301994</v>
      </c>
      <c r="E105" s="130">
        <f t="shared" si="63"/>
        <v>2812.4093312006598</v>
      </c>
      <c r="F105" s="120"/>
      <c r="G105" s="130">
        <f t="shared" si="64"/>
        <v>73122.642611217161</v>
      </c>
      <c r="H105" s="120"/>
    </row>
    <row r="106" spans="2:8" ht="15.75" customHeight="1">
      <c r="B106" s="53" t="s">
        <v>58</v>
      </c>
      <c r="C106" s="55">
        <f t="shared" ref="C106:D106" si="68">C100*0.11</f>
        <v>487.73823660790993</v>
      </c>
      <c r="D106" s="55">
        <f t="shared" si="68"/>
        <v>341.41676562553693</v>
      </c>
      <c r="E106" s="129">
        <f t="shared" si="63"/>
        <v>151781.82905094812</v>
      </c>
      <c r="F106" s="120"/>
      <c r="G106" s="129">
        <f t="shared" si="64"/>
        <v>3946327.5553246513</v>
      </c>
      <c r="H106" s="120"/>
    </row>
    <row r="107" spans="2:8" ht="15.75" customHeight="1">
      <c r="B107" s="53" t="s">
        <v>59</v>
      </c>
      <c r="C107" s="55">
        <f t="shared" ref="C107:D107" si="69">C102*0.11</f>
        <v>9316130.9544672575</v>
      </c>
      <c r="D107" s="55">
        <f t="shared" si="69"/>
        <v>9316130.9544672575</v>
      </c>
      <c r="E107" s="129">
        <f t="shared" si="63"/>
        <v>8635336.7775380593</v>
      </c>
      <c r="F107" s="120"/>
      <c r="G107" s="129">
        <f t="shared" si="64"/>
        <v>224518756.21598956</v>
      </c>
      <c r="H107" s="120"/>
    </row>
    <row r="108" spans="2:8" ht="15.75" customHeight="1">
      <c r="B108" s="53" t="s">
        <v>60</v>
      </c>
      <c r="C108" s="55">
        <f t="shared" ref="C108:D108" si="70">C104*0.11</f>
        <v>1372992.9299144894</v>
      </c>
      <c r="D108" s="55">
        <f t="shared" si="70"/>
        <v>1372992.9299144894</v>
      </c>
      <c r="E108" s="129">
        <f t="shared" si="63"/>
        <v>1294361.7254207381</v>
      </c>
      <c r="F108" s="120"/>
      <c r="G108" s="129">
        <f t="shared" si="64"/>
        <v>33653404.86093919</v>
      </c>
      <c r="H108" s="120"/>
    </row>
    <row r="109" spans="2:8" ht="15.75" customHeight="1"/>
    <row r="110" spans="2:8" ht="15.75" customHeight="1"/>
    <row r="111" spans="2:8" ht="15.75" customHeight="1"/>
    <row r="112" spans="2:8"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row r="1004" ht="15.75" customHeight="1"/>
    <row r="1005" ht="15.75" customHeight="1"/>
    <row r="1006" ht="15.75" customHeight="1"/>
    <row r="1007" ht="15.75" customHeight="1"/>
    <row r="1008" ht="15.75" customHeight="1"/>
    <row r="1009" ht="15.75" customHeight="1"/>
    <row r="1010" ht="15.75" customHeight="1"/>
    <row r="1011" ht="15.75" customHeight="1"/>
    <row r="1012" ht="15.75" customHeight="1"/>
  </sheetData>
  <mergeCells count="35">
    <mergeCell ref="E108:F108"/>
    <mergeCell ref="E104:F104"/>
    <mergeCell ref="G104:H104"/>
    <mergeCell ref="E105:F105"/>
    <mergeCell ref="G105:H105"/>
    <mergeCell ref="E106:F106"/>
    <mergeCell ref="G106:H106"/>
    <mergeCell ref="G107:H107"/>
    <mergeCell ref="G108:H108"/>
    <mergeCell ref="E102:F102"/>
    <mergeCell ref="G102:H102"/>
    <mergeCell ref="E103:F103"/>
    <mergeCell ref="G103:H103"/>
    <mergeCell ref="E107:F107"/>
    <mergeCell ref="E99:F99"/>
    <mergeCell ref="G99:H99"/>
    <mergeCell ref="G100:H100"/>
    <mergeCell ref="E100:F100"/>
    <mergeCell ref="E101:F101"/>
    <mergeCell ref="G101:H101"/>
    <mergeCell ref="A3:A18"/>
    <mergeCell ref="A20:A42"/>
    <mergeCell ref="A45:A48"/>
    <mergeCell ref="A51:A53"/>
    <mergeCell ref="A1:J1"/>
    <mergeCell ref="D3:E3"/>
    <mergeCell ref="H3:I3"/>
    <mergeCell ref="D4:E4"/>
    <mergeCell ref="H4:I4"/>
    <mergeCell ref="D5:E5"/>
    <mergeCell ref="D6:E6"/>
    <mergeCell ref="I27:I31"/>
    <mergeCell ref="F51:G51"/>
    <mergeCell ref="F52:G52"/>
    <mergeCell ref="F53:G53"/>
  </mergeCells>
  <pageMargins left="0.25" right="0.25" top="0.75" bottom="0.75" header="0" footer="0"/>
  <pageSetup paperSize="3" fitToHeight="0" orientation="landscape"/>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Z1000"/>
  <sheetViews>
    <sheetView showGridLines="0" workbookViewId="0"/>
  </sheetViews>
  <sheetFormatPr baseColWidth="10" defaultColWidth="12.6640625" defaultRowHeight="15" customHeight="1"/>
  <cols>
    <col min="1" max="1" width="20.6640625" customWidth="1"/>
    <col min="2" max="2" width="23.33203125" customWidth="1"/>
    <col min="3" max="4" width="30.6640625" customWidth="1"/>
    <col min="5" max="5" width="33.6640625" customWidth="1"/>
    <col min="6" max="7" width="28.83203125" customWidth="1"/>
    <col min="8" max="9" width="30.6640625" customWidth="1"/>
    <col min="10" max="10" width="7.1640625" customWidth="1"/>
    <col min="11" max="14" width="28.6640625" customWidth="1"/>
    <col min="15" max="26" width="8.6640625" customWidth="1"/>
  </cols>
  <sheetData>
    <row r="1" spans="1:26" ht="34.5" customHeight="1">
      <c r="A1" s="117" t="s">
        <v>0</v>
      </c>
      <c r="B1" s="118"/>
      <c r="C1" s="118"/>
      <c r="D1" s="118"/>
      <c r="E1" s="118"/>
      <c r="F1" s="118"/>
      <c r="G1" s="118"/>
      <c r="H1" s="118"/>
      <c r="I1" s="118"/>
      <c r="J1" s="118"/>
    </row>
    <row r="2" spans="1:26">
      <c r="A2" s="1"/>
      <c r="B2" s="1"/>
      <c r="C2" s="1"/>
      <c r="D2" s="1"/>
      <c r="E2" s="1"/>
      <c r="F2" s="1"/>
      <c r="G2" s="1"/>
      <c r="H2" s="1"/>
      <c r="I2" s="1"/>
      <c r="J2" s="1"/>
    </row>
    <row r="3" spans="1:26">
      <c r="A3" s="107" t="s">
        <v>1</v>
      </c>
      <c r="B3" s="2" t="s">
        <v>2</v>
      </c>
      <c r="C3" s="2" t="s">
        <v>3</v>
      </c>
      <c r="D3" s="119" t="s">
        <v>4</v>
      </c>
      <c r="E3" s="120"/>
      <c r="F3" s="2" t="s">
        <v>5</v>
      </c>
      <c r="G3" s="2" t="s">
        <v>6</v>
      </c>
      <c r="H3" s="119" t="s">
        <v>7</v>
      </c>
      <c r="I3" s="120"/>
      <c r="J3" s="3"/>
      <c r="K3" s="131"/>
      <c r="L3" s="132"/>
      <c r="N3" s="4"/>
      <c r="O3" s="4"/>
      <c r="P3" s="4"/>
      <c r="Q3" s="4"/>
      <c r="R3" s="4"/>
      <c r="S3" s="4"/>
      <c r="T3" s="4"/>
      <c r="U3" s="4"/>
      <c r="V3" s="4"/>
      <c r="W3" s="4"/>
      <c r="X3" s="4"/>
      <c r="Y3" s="4"/>
      <c r="Z3" s="4"/>
    </row>
    <row r="4" spans="1:26">
      <c r="A4" s="108"/>
      <c r="B4" s="5" t="s">
        <v>8</v>
      </c>
      <c r="C4" s="6">
        <v>248000</v>
      </c>
      <c r="D4" s="121">
        <v>400</v>
      </c>
      <c r="E4" s="120"/>
      <c r="F4" s="7">
        <f>C4/D4</f>
        <v>620</v>
      </c>
      <c r="G4" s="7">
        <f>F4*26*0.5</f>
        <v>8060</v>
      </c>
      <c r="H4" s="122">
        <f>G4*0.05*16087</f>
        <v>6483061</v>
      </c>
      <c r="I4" s="120"/>
      <c r="J4" s="3"/>
      <c r="K4" s="133"/>
      <c r="L4" s="134"/>
    </row>
    <row r="5" spans="1:26">
      <c r="A5" s="108"/>
      <c r="B5" s="2" t="s">
        <v>2</v>
      </c>
      <c r="C5" s="2" t="s">
        <v>3</v>
      </c>
      <c r="D5" s="119" t="s">
        <v>4</v>
      </c>
      <c r="E5" s="120"/>
      <c r="F5" s="2" t="s">
        <v>9</v>
      </c>
      <c r="G5" s="2" t="s">
        <v>10</v>
      </c>
      <c r="H5" s="2" t="s">
        <v>11</v>
      </c>
      <c r="I5" s="2" t="s">
        <v>12</v>
      </c>
      <c r="J5" s="3"/>
      <c r="K5" s="133"/>
      <c r="L5" s="134"/>
    </row>
    <row r="6" spans="1:26">
      <c r="A6" s="108"/>
      <c r="B6" s="5" t="s">
        <v>13</v>
      </c>
      <c r="C6" s="6">
        <v>300000</v>
      </c>
      <c r="D6" s="121">
        <v>300</v>
      </c>
      <c r="E6" s="120"/>
      <c r="F6" s="7">
        <f>G6/5</f>
        <v>200</v>
      </c>
      <c r="G6" s="7">
        <f>C6/D6</f>
        <v>1000</v>
      </c>
      <c r="H6" s="7">
        <f t="shared" ref="H6:I6" si="0">F6*0.05*16087</f>
        <v>160870</v>
      </c>
      <c r="I6" s="9">
        <f t="shared" si="0"/>
        <v>804350</v>
      </c>
      <c r="J6" s="3"/>
      <c r="K6" s="133"/>
      <c r="L6" s="134"/>
    </row>
    <row r="7" spans="1:26">
      <c r="A7" s="108"/>
      <c r="B7" s="2" t="s">
        <v>14</v>
      </c>
      <c r="C7" s="10">
        <v>2025</v>
      </c>
      <c r="D7" s="10">
        <v>2026</v>
      </c>
      <c r="E7" s="10">
        <v>2027</v>
      </c>
      <c r="F7" s="10">
        <v>2028</v>
      </c>
      <c r="G7" s="10">
        <v>2029</v>
      </c>
      <c r="H7" s="11">
        <v>2030</v>
      </c>
      <c r="I7" s="2" t="s">
        <v>15</v>
      </c>
      <c r="J7" s="3"/>
      <c r="K7" s="133"/>
      <c r="L7" s="134"/>
    </row>
    <row r="8" spans="1:26">
      <c r="A8" s="108"/>
      <c r="B8" s="12" t="s">
        <v>16</v>
      </c>
      <c r="C8" s="7">
        <f>H4+H6</f>
        <v>6643931</v>
      </c>
      <c r="D8" s="17">
        <f t="shared" ref="D8:H8" si="1">$C$8+$C$8*(D7-$C$7)</f>
        <v>13287862</v>
      </c>
      <c r="E8" s="17">
        <f t="shared" si="1"/>
        <v>19931793</v>
      </c>
      <c r="F8" s="17">
        <f t="shared" si="1"/>
        <v>26575724</v>
      </c>
      <c r="G8" s="17">
        <f t="shared" si="1"/>
        <v>33219655</v>
      </c>
      <c r="H8" s="8">
        <f t="shared" si="1"/>
        <v>39863586</v>
      </c>
      <c r="I8" s="13">
        <f t="shared" ref="I8:I9" si="2">SUM(C8:H8)</f>
        <v>139522551</v>
      </c>
      <c r="J8" s="3"/>
      <c r="K8" s="133"/>
      <c r="L8" s="134"/>
    </row>
    <row r="9" spans="1:26">
      <c r="A9" s="108"/>
      <c r="B9" s="12" t="s">
        <v>17</v>
      </c>
      <c r="C9" s="18">
        <f t="shared" ref="C9:D9" si="3">C46*C8/1000</f>
        <v>2444.4526999371506</v>
      </c>
      <c r="D9" s="18">
        <f t="shared" si="3"/>
        <v>4452.6896058376196</v>
      </c>
      <c r="E9" s="18">
        <f t="shared" ref="E9:F9" si="4">D46*E8/1000</f>
        <v>6679.0344087564299</v>
      </c>
      <c r="F9" s="18">
        <f t="shared" si="4"/>
        <v>7388.9777017386396</v>
      </c>
      <c r="G9" s="18">
        <f t="shared" ref="G9:H9" si="5">E46*G8/1000</f>
        <v>9236.2221271732997</v>
      </c>
      <c r="H9" s="62">
        <f t="shared" si="5"/>
        <v>9528.3187001083188</v>
      </c>
      <c r="I9" s="13">
        <f t="shared" si="2"/>
        <v>39729.695243551461</v>
      </c>
      <c r="J9" s="3"/>
      <c r="K9" s="133"/>
      <c r="L9" s="134"/>
    </row>
    <row r="10" spans="1:26">
      <c r="A10" s="108"/>
      <c r="B10" s="2" t="s">
        <v>14</v>
      </c>
      <c r="C10" s="10">
        <v>2031</v>
      </c>
      <c r="D10" s="10">
        <v>2032</v>
      </c>
      <c r="E10" s="10">
        <v>2033</v>
      </c>
      <c r="F10" s="10">
        <v>2034</v>
      </c>
      <c r="G10" s="10">
        <v>2035</v>
      </c>
      <c r="H10" s="10">
        <v>2036</v>
      </c>
      <c r="I10" s="10">
        <v>2037</v>
      </c>
      <c r="J10" s="3"/>
      <c r="K10" s="133"/>
      <c r="L10" s="134"/>
    </row>
    <row r="11" spans="1:26">
      <c r="A11" s="108"/>
      <c r="B11" s="12" t="s">
        <v>16</v>
      </c>
      <c r="C11" s="17">
        <f t="shared" ref="C11:I11" si="6">($H$4+$H$8)*(0.7^(C10-$H$7))-(16087*(1.03)^(C10-$H$7))</f>
        <v>32426083.289999999</v>
      </c>
      <c r="D11" s="17">
        <f t="shared" si="6"/>
        <v>22692790.331699997</v>
      </c>
      <c r="E11" s="17">
        <f t="shared" si="6"/>
        <v>15879321.221750997</v>
      </c>
      <c r="F11" s="17">
        <f t="shared" si="6"/>
        <v>11109723.884473527</v>
      </c>
      <c r="G11" s="17">
        <f t="shared" si="6"/>
        <v>7770831.7192567335</v>
      </c>
      <c r="H11" s="17">
        <f t="shared" si="6"/>
        <v>5433427.9536087355</v>
      </c>
      <c r="I11" s="17">
        <f t="shared" si="6"/>
        <v>3797060.6901590079</v>
      </c>
      <c r="J11" s="3"/>
      <c r="K11" s="133"/>
      <c r="L11" s="134"/>
    </row>
    <row r="12" spans="1:26">
      <c r="A12" s="108"/>
      <c r="B12" s="12" t="s">
        <v>17</v>
      </c>
      <c r="C12" s="18">
        <f t="shared" ref="C12:D12" si="7">F46*C11/1000</f>
        <v>7750.583597355665</v>
      </c>
      <c r="D12" s="18">
        <f t="shared" si="7"/>
        <v>5486.4924235430344</v>
      </c>
      <c r="E12" s="19">
        <f>G46*E11/1000</f>
        <v>3839.1830312925808</v>
      </c>
      <c r="F12" s="18">
        <f>H46*E11/1000</f>
        <v>3202.0351124489794</v>
      </c>
      <c r="G12" s="20">
        <f t="shared" ref="G12:H12" si="8">H46*G11/1000</f>
        <v>1566.9735293161709</v>
      </c>
      <c r="H12" s="18">
        <f t="shared" si="8"/>
        <v>1068.2752894494163</v>
      </c>
      <c r="I12" s="18">
        <f>I46*I11/1000</f>
        <v>746.54640541290814</v>
      </c>
      <c r="J12" s="3"/>
      <c r="K12" s="133"/>
      <c r="L12" s="134"/>
    </row>
    <row r="13" spans="1:26">
      <c r="A13" s="108"/>
      <c r="B13" s="2" t="s">
        <v>14</v>
      </c>
      <c r="C13" s="10">
        <v>2038</v>
      </c>
      <c r="D13" s="10">
        <v>2039</v>
      </c>
      <c r="E13" s="10">
        <v>2040</v>
      </c>
      <c r="F13" s="10">
        <v>2041</v>
      </c>
      <c r="G13" s="10">
        <v>2042</v>
      </c>
      <c r="H13" s="10">
        <v>2043</v>
      </c>
      <c r="I13" s="10">
        <v>2044</v>
      </c>
      <c r="J13" s="3"/>
      <c r="K13" s="133"/>
      <c r="L13" s="134"/>
    </row>
    <row r="14" spans="1:26">
      <c r="A14" s="108"/>
      <c r="B14" s="12" t="s">
        <v>16</v>
      </c>
      <c r="C14" s="17">
        <f t="shared" ref="C14:I14" si="9">($H$4+$H$8)*(0.7^(C13-$H$7))-(16087*(1.03)^(C13-$H$7))</f>
        <v>2651413.4394231858</v>
      </c>
      <c r="D14" s="17">
        <f t="shared" si="9"/>
        <v>1849264.4925974666</v>
      </c>
      <c r="E14" s="17">
        <f t="shared" si="9"/>
        <v>1287558.4823695004</v>
      </c>
      <c r="F14" s="17">
        <f t="shared" si="9"/>
        <v>894156.47533646226</v>
      </c>
      <c r="G14" s="17">
        <f t="shared" si="9"/>
        <v>618561.03654366988</v>
      </c>
      <c r="H14" s="17">
        <f t="shared" si="9"/>
        <v>425423.77450295974</v>
      </c>
      <c r="I14" s="17">
        <f t="shared" si="9"/>
        <v>290000.62254213437</v>
      </c>
      <c r="J14" s="3"/>
      <c r="K14" s="133"/>
      <c r="L14" s="134"/>
    </row>
    <row r="15" spans="1:26">
      <c r="A15" s="108"/>
      <c r="B15" s="12" t="s">
        <v>17</v>
      </c>
      <c r="C15" s="18">
        <f>C48*C14/1000</f>
        <v>497.21240347874362</v>
      </c>
      <c r="D15" s="21">
        <f t="shared" ref="D15:E15" si="10">C48*D14/1000</f>
        <v>346.78757728267294</v>
      </c>
      <c r="E15" s="18">
        <f t="shared" si="10"/>
        <v>244.86090648564198</v>
      </c>
      <c r="F15" s="21">
        <f t="shared" ref="F15:G15" si="11">D48*F14/1000</f>
        <v>170.04584109295683</v>
      </c>
      <c r="G15" s="18">
        <f t="shared" si="11"/>
        <v>108.45027765700178</v>
      </c>
      <c r="H15" s="21">
        <f t="shared" ref="H15:I15" si="12">E48*H14/1000</f>
        <v>74.588154993623547</v>
      </c>
      <c r="I15" s="18">
        <f t="shared" si="12"/>
        <v>50.370956330949483</v>
      </c>
      <c r="J15" s="3"/>
      <c r="K15" s="133"/>
      <c r="L15" s="134"/>
    </row>
    <row r="16" spans="1:26">
      <c r="A16" s="108"/>
      <c r="B16" s="2" t="s">
        <v>14</v>
      </c>
      <c r="C16" s="23">
        <v>2045</v>
      </c>
      <c r="D16" s="23">
        <v>2046</v>
      </c>
      <c r="E16" s="23">
        <v>2047</v>
      </c>
      <c r="F16" s="23">
        <v>2048</v>
      </c>
      <c r="G16" s="23">
        <v>2049</v>
      </c>
      <c r="H16" s="23">
        <v>2050</v>
      </c>
      <c r="I16" s="2" t="s">
        <v>18</v>
      </c>
      <c r="J16" s="3"/>
      <c r="K16" s="133"/>
      <c r="L16" s="134"/>
    </row>
    <row r="17" spans="1:14">
      <c r="A17" s="108"/>
      <c r="B17" s="12" t="s">
        <v>16</v>
      </c>
      <c r="C17" s="17">
        <f t="shared" ref="C17:H17" si="13">($H$4+$H$8)*(0.7^(C16-$H$7))-(16087*(1.03)^(C16-$H$7))</f>
        <v>194970.53558125842</v>
      </c>
      <c r="D17" s="17">
        <f t="shared" si="13"/>
        <v>128208.57770269828</v>
      </c>
      <c r="E17" s="17">
        <f t="shared" si="13"/>
        <v>81227.083271580661</v>
      </c>
      <c r="F17" s="17">
        <f t="shared" si="13"/>
        <v>48084.469536189092</v>
      </c>
      <c r="G17" s="17">
        <f t="shared" si="13"/>
        <v>24621.40525879748</v>
      </c>
      <c r="H17" s="17">
        <f t="shared" si="13"/>
        <v>7926.1285621272982</v>
      </c>
      <c r="I17" s="13">
        <f t="shared" ref="I17:I18" si="14">SUM(C11:I11,C14:I14,C17:H17)</f>
        <v>107610655.61417702</v>
      </c>
      <c r="J17" s="3"/>
      <c r="K17" s="133"/>
      <c r="L17" s="134"/>
    </row>
    <row r="18" spans="1:14">
      <c r="A18" s="109"/>
      <c r="B18" s="12" t="s">
        <v>17</v>
      </c>
      <c r="C18" s="18">
        <f t="shared" ref="C18:D18" si="15">F48*C17/1000</f>
        <v>33.86493534909058</v>
      </c>
      <c r="D18" s="18">
        <f t="shared" si="15"/>
        <v>21.717647141565163</v>
      </c>
      <c r="E18" s="18">
        <f t="shared" ref="E18:F18" si="16">G48*E17/1000</f>
        <v>13.759306627060358</v>
      </c>
      <c r="F18" s="18">
        <f t="shared" si="16"/>
        <v>7.6549177220935558</v>
      </c>
      <c r="G18" s="18">
        <f t="shared" ref="G18:H18" si="17">H48*G17/1000</f>
        <v>3.9196612394063606</v>
      </c>
      <c r="H18" s="18">
        <f t="shared" si="17"/>
        <v>1.2340896569043731</v>
      </c>
      <c r="I18" s="13">
        <f t="shared" si="14"/>
        <v>25234.556063876469</v>
      </c>
      <c r="J18" s="3"/>
      <c r="K18" s="135"/>
      <c r="L18" s="136"/>
    </row>
    <row r="19" spans="1:14">
      <c r="A19" s="3"/>
      <c r="B19" s="24"/>
      <c r="C19" s="25"/>
      <c r="D19" s="26"/>
      <c r="E19" s="26"/>
      <c r="F19" s="27"/>
      <c r="G19" s="27"/>
      <c r="H19" s="27"/>
      <c r="I19" s="27"/>
      <c r="J19" s="25"/>
      <c r="K19" s="63"/>
      <c r="L19" s="63"/>
      <c r="M19" s="63"/>
      <c r="N19" s="63"/>
    </row>
    <row r="20" spans="1:14">
      <c r="A20" s="110" t="s">
        <v>19</v>
      </c>
      <c r="B20" s="2" t="s">
        <v>2</v>
      </c>
      <c r="C20" s="2" t="s">
        <v>3</v>
      </c>
      <c r="D20" s="2" t="s">
        <v>20</v>
      </c>
      <c r="E20" s="2" t="s">
        <v>21</v>
      </c>
      <c r="F20" s="2" t="s">
        <v>22</v>
      </c>
      <c r="G20" s="2" t="s">
        <v>23</v>
      </c>
      <c r="H20" s="2" t="s">
        <v>24</v>
      </c>
      <c r="I20" s="2" t="s">
        <v>25</v>
      </c>
      <c r="J20" s="3"/>
    </row>
    <row r="21" spans="1:14" ht="15.75" customHeight="1">
      <c r="A21" s="111"/>
      <c r="B21" s="5" t="s">
        <v>26</v>
      </c>
      <c r="C21" s="6">
        <v>4458391</v>
      </c>
      <c r="D21" s="28">
        <f>AVERAGE(0.49,0.57,2.67)</f>
        <v>1.2433333333333334</v>
      </c>
      <c r="E21" s="28">
        <f>AVERAGE(2.53,1.71,5.47)</f>
        <v>3.2366666666666668</v>
      </c>
      <c r="F21" s="7">
        <f>C21/E21</f>
        <v>1377463.7487126673</v>
      </c>
      <c r="G21" s="7">
        <f>C21/D21</f>
        <v>3585837.2654155493</v>
      </c>
      <c r="H21" s="7">
        <f t="shared" ref="H21:I21" si="18">F21*13.7</f>
        <v>18871253.357363541</v>
      </c>
      <c r="I21" s="7">
        <f t="shared" si="18"/>
        <v>49125970.536193021</v>
      </c>
      <c r="J21" s="3"/>
    </row>
    <row r="22" spans="1:14" ht="15.75" customHeight="1">
      <c r="A22" s="111"/>
      <c r="B22" s="2" t="s">
        <v>2</v>
      </c>
      <c r="C22" s="2" t="s">
        <v>3</v>
      </c>
      <c r="D22" s="2" t="s">
        <v>27</v>
      </c>
      <c r="E22" s="2" t="s">
        <v>28</v>
      </c>
      <c r="F22" s="2" t="s">
        <v>29</v>
      </c>
      <c r="G22" s="2" t="s">
        <v>30</v>
      </c>
      <c r="H22" s="2" t="s">
        <v>24</v>
      </c>
      <c r="I22" s="2" t="s">
        <v>25</v>
      </c>
      <c r="J22" s="3"/>
    </row>
    <row r="23" spans="1:14" ht="15.75" customHeight="1">
      <c r="A23" s="111"/>
      <c r="B23" s="5" t="s">
        <v>31</v>
      </c>
      <c r="C23" s="6">
        <v>9875615</v>
      </c>
      <c r="D23" s="6">
        <v>874</v>
      </c>
      <c r="E23" s="6">
        <v>1436</v>
      </c>
      <c r="F23" s="7">
        <f>C23/E23</f>
        <v>6877.16922005571</v>
      </c>
      <c r="G23" s="7">
        <f>C23/D23</f>
        <v>11299.330663615561</v>
      </c>
      <c r="H23" s="7">
        <f t="shared" ref="H23:I23" si="19">F23*500*13.7</f>
        <v>47108609.157381609</v>
      </c>
      <c r="I23" s="7">
        <f t="shared" si="19"/>
        <v>77400415.045766592</v>
      </c>
      <c r="J23" s="3"/>
    </row>
    <row r="24" spans="1:14" ht="15.75" customHeight="1">
      <c r="A24" s="111"/>
      <c r="B24" s="2" t="s">
        <v>2</v>
      </c>
      <c r="C24" s="2" t="s">
        <v>3</v>
      </c>
      <c r="D24" s="2" t="s">
        <v>32</v>
      </c>
      <c r="E24" s="2" t="s">
        <v>33</v>
      </c>
      <c r="F24" s="2" t="s">
        <v>34</v>
      </c>
      <c r="G24" s="2" t="s">
        <v>35</v>
      </c>
      <c r="H24" s="2" t="s">
        <v>24</v>
      </c>
      <c r="I24" s="2" t="s">
        <v>25</v>
      </c>
      <c r="J24" s="3"/>
    </row>
    <row r="25" spans="1:14" ht="15.75" customHeight="1">
      <c r="A25" s="111"/>
      <c r="B25" s="5" t="s">
        <v>36</v>
      </c>
      <c r="C25" s="6">
        <v>12841994</v>
      </c>
      <c r="D25" s="29">
        <v>1.71</v>
      </c>
      <c r="E25" s="30">
        <v>2.5</v>
      </c>
      <c r="F25" s="7">
        <f t="shared" ref="F25:F26" si="20">C25/E25</f>
        <v>5136797.5999999996</v>
      </c>
      <c r="G25" s="7">
        <f t="shared" ref="G25:G26" si="21">C25/D25</f>
        <v>7509938.0116959065</v>
      </c>
      <c r="H25" s="7">
        <f t="shared" ref="H25:I25" si="22">F25*10^-3*1465.65</f>
        <v>7528747.4024400003</v>
      </c>
      <c r="I25" s="7">
        <f t="shared" si="22"/>
        <v>11006940.646842105</v>
      </c>
      <c r="J25" s="3"/>
      <c r="K25" s="19"/>
      <c r="L25" s="19"/>
    </row>
    <row r="26" spans="1:14" ht="15.75" customHeight="1">
      <c r="A26" s="111"/>
      <c r="B26" s="5" t="s">
        <v>37</v>
      </c>
      <c r="C26" s="6">
        <v>10000000</v>
      </c>
      <c r="D26" s="28">
        <f>AVERAGE(4,3)</f>
        <v>3.5</v>
      </c>
      <c r="E26" s="31">
        <f>AVERAGE(5,4)</f>
        <v>4.5</v>
      </c>
      <c r="F26" s="7">
        <f t="shared" si="20"/>
        <v>2222222.222222222</v>
      </c>
      <c r="G26" s="7">
        <f t="shared" si="21"/>
        <v>2857142.8571428573</v>
      </c>
      <c r="H26" s="7">
        <f t="shared" ref="H26:I26" si="23">F26*10^-3*1465.65</f>
        <v>3257000</v>
      </c>
      <c r="I26" s="7">
        <f t="shared" si="23"/>
        <v>4187571.4285714291</v>
      </c>
      <c r="J26" s="3"/>
      <c r="K26" s="19"/>
      <c r="L26" s="19"/>
    </row>
    <row r="27" spans="1:14" ht="15.75" customHeight="1">
      <c r="A27" s="111"/>
      <c r="B27" s="10" t="s">
        <v>14</v>
      </c>
      <c r="C27" s="10">
        <v>2025</v>
      </c>
      <c r="D27" s="10">
        <v>2026</v>
      </c>
      <c r="E27" s="10">
        <v>2027</v>
      </c>
      <c r="F27" s="10">
        <v>2028</v>
      </c>
      <c r="G27" s="10">
        <v>2029</v>
      </c>
      <c r="H27" s="11">
        <v>2030</v>
      </c>
      <c r="I27" s="123" t="s">
        <v>38</v>
      </c>
      <c r="J27" s="3"/>
    </row>
    <row r="28" spans="1:14" ht="15.75" customHeight="1">
      <c r="A28" s="111"/>
      <c r="B28" s="5" t="s">
        <v>26</v>
      </c>
      <c r="C28" s="32">
        <v>440858</v>
      </c>
      <c r="D28" s="32">
        <v>1322574</v>
      </c>
      <c r="E28" s="32">
        <v>1322574</v>
      </c>
      <c r="F28" s="32">
        <v>881716</v>
      </c>
      <c r="G28" s="32">
        <v>440858</v>
      </c>
      <c r="H28" s="2"/>
      <c r="I28" s="114"/>
      <c r="J28" s="3"/>
    </row>
    <row r="29" spans="1:14" ht="15.75" customHeight="1">
      <c r="A29" s="111"/>
      <c r="B29" s="5" t="s">
        <v>31</v>
      </c>
      <c r="C29" s="32">
        <v>973385</v>
      </c>
      <c r="D29" s="32">
        <v>2920156</v>
      </c>
      <c r="E29" s="32">
        <v>2920156</v>
      </c>
      <c r="F29" s="32">
        <v>1946771</v>
      </c>
      <c r="G29" s="32">
        <v>973385</v>
      </c>
      <c r="H29" s="2"/>
      <c r="I29" s="114"/>
      <c r="J29" s="3"/>
    </row>
    <row r="30" spans="1:14" ht="15.75" customHeight="1">
      <c r="A30" s="111"/>
      <c r="B30" s="5" t="s">
        <v>36</v>
      </c>
      <c r="C30" s="32">
        <v>1266408</v>
      </c>
      <c r="D30" s="32">
        <v>3799223</v>
      </c>
      <c r="E30" s="32">
        <v>3799223</v>
      </c>
      <c r="F30" s="32">
        <v>2532816</v>
      </c>
      <c r="G30" s="32">
        <v>1266408</v>
      </c>
      <c r="H30" s="2"/>
      <c r="I30" s="114"/>
      <c r="J30" s="3"/>
      <c r="K30" s="33"/>
    </row>
    <row r="31" spans="1:14" ht="15.75" customHeight="1">
      <c r="A31" s="111"/>
      <c r="B31" s="5" t="s">
        <v>37</v>
      </c>
      <c r="C31" s="32">
        <v>5000000</v>
      </c>
      <c r="D31" s="32">
        <v>5000000</v>
      </c>
      <c r="E31" s="32">
        <v>0</v>
      </c>
      <c r="F31" s="32">
        <v>0</v>
      </c>
      <c r="G31" s="32">
        <v>0</v>
      </c>
      <c r="H31" s="2"/>
      <c r="I31" s="115"/>
      <c r="J31" s="3"/>
      <c r="K31" s="33"/>
    </row>
    <row r="32" spans="1:14" ht="15.75" customHeight="1">
      <c r="A32" s="111"/>
      <c r="B32" s="35" t="s">
        <v>39</v>
      </c>
      <c r="C32" s="36">
        <f>C28/AVERAGE($D$21,$E$21)*13.7+C29/AVERAGE($D$23,$E$23)*500*13.7+C30/AVERAGE($D$25,$E$25)*10^-3*1465.65+C31/AVERAGE($D$26,$E$26)*10^-3*1465.65</f>
        <v>11183033.802627889</v>
      </c>
      <c r="D32" s="36">
        <f t="shared" ref="D32:H32" si="24">C32+D28/AVERAGE($D$21,$E$21)*13.7+D29/AVERAGE($D$23,$E$23)*500*13.7+D30/AVERAGE($D$25,$E$25)*10^-3*1465.65+D31/AVERAGE($D$26,$E$26)*10^-3*1465.65</f>
        <v>41068015.444976702</v>
      </c>
      <c r="E32" s="36">
        <f t="shared" si="24"/>
        <v>69120934.587325513</v>
      </c>
      <c r="F32" s="36">
        <f t="shared" si="24"/>
        <v>87822883.123317212</v>
      </c>
      <c r="G32" s="36">
        <f t="shared" si="24"/>
        <v>97173854.425945103</v>
      </c>
      <c r="H32" s="36">
        <f t="shared" si="24"/>
        <v>97173854.425945103</v>
      </c>
      <c r="I32" s="13">
        <f t="shared" ref="I32:I33" si="25">SUM(C32:H32)</f>
        <v>403542575.81013751</v>
      </c>
      <c r="J32" s="3"/>
      <c r="K32" s="33"/>
    </row>
    <row r="33" spans="1:12" ht="15.75" customHeight="1">
      <c r="A33" s="111"/>
      <c r="B33" s="11" t="s">
        <v>17</v>
      </c>
      <c r="C33" s="38">
        <f>C32*10^-3*'CO2e Emissions Rates'!C32</f>
        <v>3930.9323320537301</v>
      </c>
      <c r="D33" s="38">
        <f>D32*10^-3*'CO2e Emissions Rates'!D32</f>
        <v>13761.666512206899</v>
      </c>
      <c r="E33" s="38">
        <f>E32*10^-3*'CO2e Emissions Rates'!E32</f>
        <v>21190.03753866905</v>
      </c>
      <c r="F33" s="38">
        <f>F32*10^-3*'CO2e Emissions Rates'!F32</f>
        <v>24417.823013987861</v>
      </c>
      <c r="G33" s="38">
        <f>G32*10^-3*'CO2e Emissions Rates'!G32</f>
        <v>25122.258439146619</v>
      </c>
      <c r="H33" s="38">
        <f>H32*10^-3*'CO2e Emissions Rates'!H32</f>
        <v>23226.797867315207</v>
      </c>
      <c r="I33" s="64">
        <f t="shared" si="25"/>
        <v>111649.51570337937</v>
      </c>
      <c r="J33" s="3"/>
      <c r="K33" s="33"/>
      <c r="L33" s="33"/>
    </row>
    <row r="34" spans="1:12" ht="15.75" customHeight="1">
      <c r="A34" s="111"/>
      <c r="B34" s="2" t="s">
        <v>14</v>
      </c>
      <c r="C34" s="2">
        <v>2031</v>
      </c>
      <c r="D34" s="2">
        <v>2032</v>
      </c>
      <c r="E34" s="2">
        <v>2033</v>
      </c>
      <c r="F34" s="2">
        <v>2034</v>
      </c>
      <c r="G34" s="2">
        <v>2035</v>
      </c>
      <c r="H34" s="2">
        <v>2036</v>
      </c>
      <c r="I34" s="2">
        <v>2037</v>
      </c>
      <c r="J34" s="3"/>
      <c r="K34" s="33"/>
    </row>
    <row r="35" spans="1:12" ht="15.75" customHeight="1">
      <c r="A35" s="111"/>
      <c r="B35" s="2" t="s">
        <v>16</v>
      </c>
      <c r="C35" s="18">
        <f t="shared" ref="C35:I35" si="26">$G$32-(16087*(1.03)^(C10-$H$7))</f>
        <v>97157284.815945104</v>
      </c>
      <c r="D35" s="18">
        <f t="shared" si="26"/>
        <v>97156787.727645099</v>
      </c>
      <c r="E35" s="18">
        <f t="shared" si="26"/>
        <v>97156275.726696104</v>
      </c>
      <c r="F35" s="18">
        <f t="shared" si="26"/>
        <v>97155748.365718633</v>
      </c>
      <c r="G35" s="18">
        <f t="shared" si="26"/>
        <v>97155205.183911845</v>
      </c>
      <c r="H35" s="18">
        <f t="shared" si="26"/>
        <v>97154645.706650838</v>
      </c>
      <c r="I35" s="18">
        <f t="shared" si="26"/>
        <v>97154069.44507201</v>
      </c>
      <c r="J35" s="3"/>
    </row>
    <row r="36" spans="1:12" ht="15.75" customHeight="1">
      <c r="A36" s="111"/>
      <c r="B36" s="2" t="s">
        <v>17</v>
      </c>
      <c r="C36" s="38">
        <f>C35*10^-3*'CO2e Emissions Rates'!G32</f>
        <v>25117.974714608627</v>
      </c>
      <c r="D36" s="38">
        <f>D35*10^-3*'CO2e Emissions Rates'!H32</f>
        <v>23222.718531839444</v>
      </c>
      <c r="E36" s="38">
        <f>E35*10^-3*'CO2e Emissions Rates'!I32</f>
        <v>23356.155426672529</v>
      </c>
      <c r="F36" s="38">
        <f>F35*10^-3*'CO2e Emissions Rates'!J32</f>
        <v>23489.587200193226</v>
      </c>
      <c r="G36" s="38">
        <f>G35*10^-3*'CO2e Emissions Rates'!K32</f>
        <v>21540.309687886653</v>
      </c>
      <c r="H36" s="38">
        <f>H35*10^-3*'CO2e Emissions Rates'!L32</f>
        <v>19591.050684465758</v>
      </c>
      <c r="I36" s="38">
        <f>I35*10^-3*'CO2e Emissions Rates'!M32</f>
        <v>19346.278675879206</v>
      </c>
      <c r="J36" s="3"/>
    </row>
    <row r="37" spans="1:12" ht="15.75" customHeight="1">
      <c r="A37" s="111"/>
      <c r="B37" s="2" t="s">
        <v>14</v>
      </c>
      <c r="C37" s="2">
        <v>2038</v>
      </c>
      <c r="D37" s="2">
        <v>2039</v>
      </c>
      <c r="E37" s="2">
        <v>2040</v>
      </c>
      <c r="F37" s="2">
        <v>2041</v>
      </c>
      <c r="G37" s="2">
        <v>2042</v>
      </c>
      <c r="H37" s="2">
        <v>2043</v>
      </c>
      <c r="I37" s="2">
        <v>2044</v>
      </c>
      <c r="J37" s="3"/>
    </row>
    <row r="38" spans="1:12" ht="15.75" customHeight="1">
      <c r="A38" s="111"/>
      <c r="B38" s="2" t="s">
        <v>16</v>
      </c>
      <c r="C38" s="18">
        <f t="shared" ref="C38:I38" si="27">$G$32-(16087*(1.03)^(C13-$H$7))</f>
        <v>97153475.895645827</v>
      </c>
      <c r="D38" s="18">
        <f t="shared" si="27"/>
        <v>97152864.539736837</v>
      </c>
      <c r="E38" s="18">
        <f t="shared" si="27"/>
        <v>97152234.843150601</v>
      </c>
      <c r="F38" s="18">
        <f t="shared" si="27"/>
        <v>97151586.255666763</v>
      </c>
      <c r="G38" s="18">
        <f t="shared" si="27"/>
        <v>97150918.210558414</v>
      </c>
      <c r="H38" s="18">
        <f t="shared" si="27"/>
        <v>97150230.124096811</v>
      </c>
      <c r="I38" s="18">
        <f t="shared" si="27"/>
        <v>97149521.395041361</v>
      </c>
      <c r="J38" s="3"/>
    </row>
    <row r="39" spans="1:12" ht="15.75" customHeight="1">
      <c r="A39" s="111"/>
      <c r="B39" s="2" t="s">
        <v>17</v>
      </c>
      <c r="C39" s="38">
        <f>C38*10^-3*'CO2e Emissions Rates'!P32</f>
        <v>18218.929020325544</v>
      </c>
      <c r="D39" s="38">
        <f>D38*10^-3*'CO2e Emissions Rates'!Q32</f>
        <v>18347.41027778629</v>
      </c>
      <c r="E39" s="38">
        <f>E38*10^-3*'CO2e Emissions Rates'!R32</f>
        <v>18475.88642887988</v>
      </c>
      <c r="F39" s="38">
        <f>F38*10^-3*'CO2e Emissions Rates'!S32</f>
        <v>17754.5160225121</v>
      </c>
      <c r="G39" s="38">
        <f>G38*10^-3*'CO2e Emissions Rates'!T32</f>
        <v>17033.151834845477</v>
      </c>
      <c r="H39" s="38">
        <f>H38*10^-3*'CO2e Emissions Rates'!U32</f>
        <v>16953.652656375591</v>
      </c>
      <c r="I39" s="38">
        <f>I38*10^-3*'CO2e Emissions Rates'!V32</f>
        <v>16874.151016869935</v>
      </c>
      <c r="J39" s="3"/>
    </row>
    <row r="40" spans="1:12" ht="15.75" customHeight="1">
      <c r="A40" s="111"/>
      <c r="B40" s="2" t="s">
        <v>14</v>
      </c>
      <c r="C40" s="23">
        <v>2045</v>
      </c>
      <c r="D40" s="23">
        <v>2046</v>
      </c>
      <c r="E40" s="23">
        <v>2047</v>
      </c>
      <c r="F40" s="23">
        <v>2048</v>
      </c>
      <c r="G40" s="23">
        <v>2049</v>
      </c>
      <c r="H40" s="23">
        <v>2050</v>
      </c>
      <c r="I40" s="39" t="s">
        <v>63</v>
      </c>
      <c r="J40" s="3"/>
    </row>
    <row r="41" spans="1:12" ht="15.75" customHeight="1">
      <c r="A41" s="111"/>
      <c r="B41" s="2" t="s">
        <v>16</v>
      </c>
      <c r="C41" s="18">
        <f t="shared" ref="C41:H41" si="28">$G$32-(16087*(1.03)^(C16-$H$7))</f>
        <v>97148791.404114246</v>
      </c>
      <c r="D41" s="18">
        <f t="shared" si="28"/>
        <v>97148039.513459325</v>
      </c>
      <c r="E41" s="18">
        <f t="shared" si="28"/>
        <v>97147265.066084743</v>
      </c>
      <c r="F41" s="18">
        <f t="shared" si="28"/>
        <v>97146467.385288939</v>
      </c>
      <c r="G41" s="18">
        <f t="shared" si="28"/>
        <v>97145645.77406925</v>
      </c>
      <c r="H41" s="18">
        <f t="shared" si="28"/>
        <v>97144799.514512971</v>
      </c>
      <c r="I41" s="13">
        <f>SUM(I32,C35:I35,C38:I38,C41:H41)</f>
        <v>2346574432.7032032</v>
      </c>
      <c r="J41" s="3"/>
    </row>
    <row r="42" spans="1:12" ht="15.75" customHeight="1">
      <c r="A42" s="112"/>
      <c r="B42" s="2" t="s">
        <v>17</v>
      </c>
      <c r="C42" s="38">
        <f>C41*10^-3*'CO2e Emissions Rates'!W32</f>
        <v>16665.179094285391</v>
      </c>
      <c r="D42" s="38">
        <f>D41*10^-3*'CO2e Emissions Rates'!X32</f>
        <v>16456.206600626971</v>
      </c>
      <c r="E42" s="38">
        <f>E41*10^-3*'CO2e Emissions Rates'!Y32</f>
        <v>15960.828857749082</v>
      </c>
      <c r="F42" s="38">
        <f>F41*10^-3*'CO2e Emissions Rates'!Z32</f>
        <v>15465.455312276061</v>
      </c>
      <c r="G42" s="38">
        <f>G41*10^-3*'CO2e Emissions Rates'!AA32</f>
        <v>15295.398321856692</v>
      </c>
      <c r="H42" s="38">
        <f>H41*10^-3*'CO2e Emissions Rates'!AB32</f>
        <v>15125.340368026193</v>
      </c>
      <c r="I42" s="13">
        <f>SUM(C36:I36,C39:I39,C42:H42)</f>
        <v>374290.1807339607</v>
      </c>
      <c r="J42" s="3"/>
    </row>
    <row r="43" spans="1:12" ht="15.75" customHeight="1"/>
    <row r="44" spans="1:12" ht="15.75" customHeight="1">
      <c r="A44" s="1"/>
      <c r="B44" s="1"/>
      <c r="C44" s="1"/>
      <c r="D44" s="1"/>
      <c r="E44" s="1"/>
      <c r="F44" s="1"/>
      <c r="G44" s="1"/>
      <c r="H44" s="1"/>
      <c r="I44" s="1"/>
      <c r="J44" s="1"/>
    </row>
    <row r="45" spans="1:12" ht="15" customHeight="1">
      <c r="A45" s="113" t="s">
        <v>41</v>
      </c>
      <c r="B45" s="40" t="s">
        <v>42</v>
      </c>
      <c r="C45" s="2">
        <v>2024</v>
      </c>
      <c r="D45" s="2">
        <v>2026</v>
      </c>
      <c r="E45" s="2">
        <v>2028</v>
      </c>
      <c r="F45" s="2">
        <v>2030</v>
      </c>
      <c r="G45" s="2">
        <v>2032</v>
      </c>
      <c r="H45" s="2">
        <v>2034</v>
      </c>
      <c r="I45" s="2">
        <v>2036</v>
      </c>
    </row>
    <row r="46" spans="1:12" ht="15.75" customHeight="1">
      <c r="A46" s="114"/>
      <c r="B46" s="5" t="s">
        <v>43</v>
      </c>
      <c r="C46" s="41">
        <v>0.36792265000000002</v>
      </c>
      <c r="D46" s="41">
        <v>0.33509451000000001</v>
      </c>
      <c r="E46" s="41">
        <v>0.27803485999999999</v>
      </c>
      <c r="F46" s="41">
        <v>0.23902312000000001</v>
      </c>
      <c r="G46" s="41">
        <v>0.24177249000000001</v>
      </c>
      <c r="H46" s="41">
        <v>0.20164810999999999</v>
      </c>
      <c r="I46" s="41">
        <v>0.19661165999999999</v>
      </c>
    </row>
    <row r="47" spans="1:12" ht="15.75" customHeight="1">
      <c r="A47" s="114"/>
      <c r="B47" s="40" t="s">
        <v>42</v>
      </c>
      <c r="C47" s="2">
        <v>2038</v>
      </c>
      <c r="D47" s="2">
        <v>2040</v>
      </c>
      <c r="E47" s="2">
        <v>2042</v>
      </c>
      <c r="F47" s="2">
        <v>2044</v>
      </c>
      <c r="G47" s="2">
        <v>2046</v>
      </c>
      <c r="H47" s="2">
        <v>2048</v>
      </c>
      <c r="I47" s="2">
        <v>2050</v>
      </c>
    </row>
    <row r="48" spans="1:12" ht="15.75" customHeight="1">
      <c r="A48" s="115"/>
      <c r="B48" s="5" t="s">
        <v>43</v>
      </c>
      <c r="C48" s="41">
        <v>0.18752730000000001</v>
      </c>
      <c r="D48" s="41">
        <v>0.19017459</v>
      </c>
      <c r="E48" s="41">
        <v>0.17532671999999999</v>
      </c>
      <c r="F48" s="41">
        <v>0.17369258000000001</v>
      </c>
      <c r="G48" s="41">
        <v>0.16939309</v>
      </c>
      <c r="H48" s="41">
        <v>0.15919730000000001</v>
      </c>
      <c r="I48" s="41">
        <v>0.15569891999999999</v>
      </c>
    </row>
    <row r="49" spans="1:23" ht="15.75" customHeight="1">
      <c r="A49" s="3"/>
      <c r="B49" s="24"/>
      <c r="C49" s="25"/>
      <c r="D49" s="26"/>
      <c r="E49" s="26"/>
      <c r="F49" s="27"/>
      <c r="G49" s="27"/>
      <c r="H49" s="27"/>
      <c r="I49" s="27"/>
      <c r="J49" s="3"/>
    </row>
    <row r="50" spans="1:23" ht="15.75" customHeight="1">
      <c r="A50" s="1"/>
      <c r="B50" s="1"/>
      <c r="C50" s="1"/>
      <c r="D50" s="1"/>
      <c r="E50" s="1"/>
      <c r="F50" s="1"/>
      <c r="G50" s="1"/>
      <c r="H50" s="1"/>
      <c r="I50" s="1"/>
      <c r="J50" s="1"/>
    </row>
    <row r="51" spans="1:23" ht="30" customHeight="1">
      <c r="A51" s="116" t="s">
        <v>44</v>
      </c>
      <c r="B51" s="2" t="s">
        <v>45</v>
      </c>
      <c r="C51" s="2" t="s">
        <v>46</v>
      </c>
      <c r="D51" s="2" t="s">
        <v>47</v>
      </c>
      <c r="E51" s="10" t="s">
        <v>48</v>
      </c>
      <c r="F51" s="124" t="s">
        <v>49</v>
      </c>
      <c r="G51" s="125"/>
      <c r="H51" s="3"/>
      <c r="I51" s="3"/>
      <c r="J51" s="3"/>
    </row>
    <row r="52" spans="1:23" ht="21.75" customHeight="1">
      <c r="A52" s="114"/>
      <c r="B52" s="5" t="s">
        <v>1</v>
      </c>
      <c r="C52" s="44">
        <v>2104902</v>
      </c>
      <c r="D52" s="45">
        <f>0.11*I8</f>
        <v>15347480.609999999</v>
      </c>
      <c r="E52" s="46">
        <f>C52/I9</f>
        <v>52.980572518779823</v>
      </c>
      <c r="F52" s="126">
        <f>(C52-D52)/I9</f>
        <v>-333.31689379493559</v>
      </c>
      <c r="G52" s="120"/>
      <c r="H52" s="3"/>
      <c r="I52" s="3"/>
      <c r="J52" s="3"/>
    </row>
    <row r="53" spans="1:23" ht="21.75" customHeight="1">
      <c r="A53" s="115"/>
      <c r="B53" s="5" t="s">
        <v>19</v>
      </c>
      <c r="C53" s="44">
        <v>38323630</v>
      </c>
      <c r="D53" s="45">
        <f>0.1*I32</f>
        <v>40354257.581013754</v>
      </c>
      <c r="E53" s="46">
        <f>C53/I33</f>
        <v>343.24940648927537</v>
      </c>
      <c r="F53" s="126">
        <f>(C53-D53)/I32</f>
        <v>-5.0320033194443965E-3</v>
      </c>
      <c r="G53" s="120"/>
      <c r="H53" s="3"/>
      <c r="I53" s="3"/>
      <c r="J53" s="3"/>
    </row>
    <row r="54" spans="1:23" ht="15.75" customHeight="1">
      <c r="A54" s="3"/>
      <c r="B54" s="3"/>
      <c r="C54" s="3"/>
      <c r="D54" s="3"/>
      <c r="E54" s="3"/>
      <c r="F54" s="3"/>
      <c r="G54" s="3"/>
      <c r="H54" s="3"/>
      <c r="I54" s="3"/>
      <c r="J54" s="3"/>
      <c r="K54" s="3"/>
      <c r="L54" s="3"/>
      <c r="M54" s="3"/>
      <c r="N54" s="3"/>
      <c r="O54" s="3"/>
      <c r="P54" s="3"/>
      <c r="Q54" s="3"/>
      <c r="R54" s="3"/>
      <c r="S54" s="3"/>
      <c r="T54" s="3"/>
      <c r="U54" s="3"/>
      <c r="V54" s="3"/>
      <c r="W54" s="3"/>
    </row>
    <row r="55" spans="1:23" ht="15.75" customHeight="1"/>
    <row r="56" spans="1:23" ht="15.75" customHeight="1"/>
    <row r="57" spans="1:23" ht="15.75" customHeight="1"/>
    <row r="58" spans="1:23" ht="15.75" customHeight="1"/>
    <row r="59" spans="1:23" ht="15.75" customHeight="1"/>
    <row r="60" spans="1:23" ht="15.75" customHeight="1"/>
    <row r="61" spans="1:23" ht="15.75" customHeight="1"/>
    <row r="62" spans="1:23" ht="15.75" customHeight="1"/>
    <row r="63" spans="1:23" ht="15.75" customHeight="1"/>
    <row r="64" spans="1:23"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6">
    <mergeCell ref="I27:I31"/>
    <mergeCell ref="A45:A48"/>
    <mergeCell ref="A51:A53"/>
    <mergeCell ref="F51:G51"/>
    <mergeCell ref="F52:G52"/>
    <mergeCell ref="F53:G53"/>
    <mergeCell ref="D5:E5"/>
    <mergeCell ref="D6:E6"/>
    <mergeCell ref="A20:A42"/>
    <mergeCell ref="A1:J1"/>
    <mergeCell ref="A3:A18"/>
    <mergeCell ref="D3:E3"/>
    <mergeCell ref="H3:I3"/>
    <mergeCell ref="K3:L18"/>
    <mergeCell ref="D4:E4"/>
    <mergeCell ref="H4:I4"/>
  </mergeCells>
  <pageMargins left="0.25" right="0.25" top="0.75" bottom="0.75" header="0" footer="0"/>
  <pageSetup paperSize="3" fitToHeight="0" orientation="landscape"/>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000"/>
  <sheetViews>
    <sheetView workbookViewId="0"/>
  </sheetViews>
  <sheetFormatPr baseColWidth="10" defaultColWidth="12.6640625" defaultRowHeight="15" customHeight="1"/>
  <cols>
    <col min="1" max="1" width="30.83203125" customWidth="1"/>
    <col min="2" max="5" width="20.6640625" customWidth="1"/>
    <col min="6" max="26" width="8.6640625" customWidth="1"/>
  </cols>
  <sheetData>
    <row r="1" spans="1:7">
      <c r="A1" s="65" t="s">
        <v>64</v>
      </c>
      <c r="B1" s="66" t="s">
        <v>26</v>
      </c>
      <c r="C1" s="67" t="s">
        <v>31</v>
      </c>
      <c r="D1" s="67" t="s">
        <v>36</v>
      </c>
      <c r="E1" s="68" t="s">
        <v>37</v>
      </c>
    </row>
    <row r="2" spans="1:7">
      <c r="A2" s="69">
        <v>2024</v>
      </c>
      <c r="B2" s="70">
        <f>'Cost per MT CO2e'!$H$21*'CO2e Emissions Rates'!$B2*10^-3</f>
        <v>6865.5885631633419</v>
      </c>
      <c r="C2" s="70">
        <f>'Cost per MT CO2e'!$H$23*'CO2e Emissions Rates'!$B2*10^-3</f>
        <v>17083.523688309007</v>
      </c>
      <c r="D2" s="70">
        <f>'Cost per MT CO2e'!$H$25*'CO2e Emissions Rates'!$B2*10^-3</f>
        <v>2731.6209423065202</v>
      </c>
      <c r="E2" s="71">
        <f>'Cost per MT CO2e'!$H$26*'CO2e Emissions Rates'!$B2*10^-3</f>
        <v>1198.3240710500002</v>
      </c>
    </row>
    <row r="3" spans="1:7">
      <c r="A3" s="72">
        <v>2026</v>
      </c>
      <c r="B3" s="73">
        <f>'Cost per MT CO2e'!$H$21*'CO2e Emissions Rates'!$B3*10^-3</f>
        <v>6253.0019161223809</v>
      </c>
      <c r="C3" s="73">
        <f>'Cost per MT CO2e'!$H$23*'CO2e Emissions Rates'!$B3*10^-3</f>
        <v>15559.235071304523</v>
      </c>
      <c r="D3" s="73">
        <f>'Cost per MT CO2e'!$H$25*'CO2e Emissions Rates'!$B3*10^-3</f>
        <v>2487.8902703270414</v>
      </c>
      <c r="E3" s="74">
        <f>'Cost per MT CO2e'!$H$26*'CO2e Emissions Rates'!$B3*10^-3</f>
        <v>1091.4028190700001</v>
      </c>
    </row>
    <row r="4" spans="1:7">
      <c r="A4" s="72">
        <v>2028</v>
      </c>
      <c r="B4" s="73">
        <f>'Cost per MT CO2e'!$H$21*'CO2e Emissions Rates'!$B4*10^-3</f>
        <v>5188.2452873633101</v>
      </c>
      <c r="C4" s="73">
        <f>'Cost per MT CO2e'!$H$23*'CO2e Emissions Rates'!$B4*10^-3</f>
        <v>12909.81981398992</v>
      </c>
      <c r="D4" s="73">
        <f>'Cost per MT CO2e'!$H$25*'CO2e Emissions Rates'!$B4*10^-3</f>
        <v>2064.2541204442327</v>
      </c>
      <c r="E4" s="74">
        <f>'Cost per MT CO2e'!$H$26*'CO2e Emissions Rates'!$B4*10^-3</f>
        <v>905.55953901999999</v>
      </c>
    </row>
    <row r="5" spans="1:7">
      <c r="A5" s="72">
        <v>2030</v>
      </c>
      <c r="B5" s="73">
        <f>'Cost per MT CO2e'!$H$21*'CO2e Emissions Rates'!$B5*10^-3</f>
        <v>4460.2701111323777</v>
      </c>
      <c r="C5" s="73">
        <f>'Cost per MT CO2e'!$H$23*'CO2e Emissions Rates'!$B5*10^-3</f>
        <v>11098.411942220808</v>
      </c>
      <c r="D5" s="73">
        <f>'Cost per MT CO2e'!$H$25*'CO2e Emissions Rates'!$B5*10^-3</f>
        <v>1774.6136593858637</v>
      </c>
      <c r="E5" s="74">
        <f>'Cost per MT CO2e'!$H$26*'CO2e Emissions Rates'!$B5*10^-3</f>
        <v>778.49830183999995</v>
      </c>
    </row>
    <row r="6" spans="1:7">
      <c r="A6" s="72">
        <v>2032</v>
      </c>
      <c r="B6" s="73">
        <f>'Cost per MT CO2e'!$H$21*'CO2e Emissions Rates'!$B6*10^-3</f>
        <v>4511.5744905390393</v>
      </c>
      <c r="C6" s="73">
        <f>'Cost per MT CO2e'!$H$23*'CO2e Emissions Rates'!$B6*10^-3</f>
        <v>11226.071730284755</v>
      </c>
      <c r="D6" s="73">
        <f>'Cost per MT CO2e'!$H$25*'CO2e Emissions Rates'!$B6*10^-3</f>
        <v>1795.0262017236332</v>
      </c>
      <c r="E6" s="74">
        <f>'Cost per MT CO2e'!$H$26*'CO2e Emissions Rates'!$B6*10^-3</f>
        <v>787.45299993000003</v>
      </c>
    </row>
    <row r="7" spans="1:7">
      <c r="A7" s="72">
        <v>2034</v>
      </c>
      <c r="B7" s="73">
        <f>'Cost per MT CO2e'!$H$21*'CO2e Emissions Rates'!$B7*10^-3</f>
        <v>3762.8369925023735</v>
      </c>
      <c r="C7" s="73">
        <f>'Cost per MT CO2e'!$H$23*'CO2e Emissions Rates'!$B7*10^-3</f>
        <v>9363.0013370683755</v>
      </c>
      <c r="D7" s="73">
        <f>'Cost per MT CO2e'!$H$25*'CO2e Emissions Rates'!$B7*10^-3</f>
        <v>1497.1250078040282</v>
      </c>
      <c r="E7" s="74">
        <f>'Cost per MT CO2e'!$H$26*'CO2e Emissions Rates'!$B7*10^-3</f>
        <v>656.76789426999994</v>
      </c>
    </row>
    <row r="8" spans="1:7">
      <c r="A8" s="72">
        <v>2036</v>
      </c>
      <c r="B8" s="73">
        <f>'Cost per MT CO2e'!$H$21*'CO2e Emissions Rates'!$B8*10^-3</f>
        <v>3668.8547559672106</v>
      </c>
      <c r="C8" s="73">
        <f>'Cost per MT CO2e'!$H$23*'CO2e Emissions Rates'!$B8*10^-3</f>
        <v>9129.1469851278689</v>
      </c>
      <c r="D8" s="73">
        <f>'Cost per MT CO2e'!$H$25*'CO2e Emissions Rates'!$B8*10^-3</f>
        <v>1459.7321691329662</v>
      </c>
      <c r="E8" s="74">
        <f>'Cost per MT CO2e'!$H$26*'CO2e Emissions Rates'!$B8*10^-3</f>
        <v>640.36417661999997</v>
      </c>
    </row>
    <row r="9" spans="1:7">
      <c r="A9" s="72">
        <v>2038</v>
      </c>
      <c r="B9" s="73">
        <f>'Cost per MT CO2e'!$H$21*'CO2e Emissions Rates'!$B9*10^-3</f>
        <v>3499.3368474620984</v>
      </c>
      <c r="C9" s="73">
        <f>'Cost per MT CO2e'!$H$23*'CO2e Emissions Rates'!$B9*10^-3</f>
        <v>8707.3385445408967</v>
      </c>
      <c r="D9" s="73">
        <f>'Cost per MT CO2e'!$H$25*'CO2e Emissions Rates'!$B9*10^-3</f>
        <v>1392.2858512086643</v>
      </c>
      <c r="E9" s="74">
        <f>'Cost per MT CO2e'!$H$26*'CO2e Emissions Rates'!$B9*10^-3</f>
        <v>610.77641610000001</v>
      </c>
    </row>
    <row r="10" spans="1:7">
      <c r="A10" s="72">
        <v>2040</v>
      </c>
      <c r="B10" s="73">
        <f>'Cost per MT CO2e'!$H$21*'CO2e Emissions Rates'!$B10*10^-3</f>
        <v>3548.7363719202326</v>
      </c>
      <c r="C10" s="73">
        <f>'Cost per MT CO2e'!$H$23*'CO2e Emissions Rates'!$B10*10^-3</f>
        <v>8830.2585154228818</v>
      </c>
      <c r="D10" s="73">
        <f>'Cost per MT CO2e'!$H$25*'CO2e Emissions Rates'!$B10*10^-3</f>
        <v>1411.9405063497886</v>
      </c>
      <c r="E10" s="74">
        <f>'Cost per MT CO2e'!$H$26*'CO2e Emissions Rates'!$B10*10^-3</f>
        <v>619.39863963000005</v>
      </c>
    </row>
    <row r="11" spans="1:7">
      <c r="A11" s="72">
        <v>2042</v>
      </c>
      <c r="B11" s="73">
        <f>'Cost per MT CO2e'!$H$21*'CO2e Emissions Rates'!$B11*10^-3</f>
        <v>3271.6689870790547</v>
      </c>
      <c r="C11" s="73">
        <f>'Cost per MT CO2e'!$H$23*'CO2e Emissions Rates'!$B11*10^-3</f>
        <v>8140.8365978923021</v>
      </c>
      <c r="D11" s="73">
        <f>'Cost per MT CO2e'!$H$25*'CO2e Emissions Rates'!$B11*10^-3</f>
        <v>1301.7033338336505</v>
      </c>
      <c r="E11" s="74">
        <f>'Cost per MT CO2e'!$H$26*'CO2e Emissions Rates'!$B11*10^-3</f>
        <v>571.03912703999993</v>
      </c>
    </row>
    <row r="12" spans="1:7">
      <c r="A12" s="72">
        <v>2044</v>
      </c>
      <c r="B12" s="73">
        <f>'Cost per MT CO2e'!$H$21*'CO2e Emissions Rates'!$B12*10^-3</f>
        <v>3241.1752599475294</v>
      </c>
      <c r="C12" s="73">
        <f>'Cost per MT CO2e'!$H$23*'CO2e Emissions Rates'!$B12*10^-3</f>
        <v>8064.9595911355473</v>
      </c>
      <c r="D12" s="73">
        <f>'Cost per MT CO2e'!$H$25*'CO2e Emissions Rates'!$B12*10^-3</f>
        <v>1289.5707536658877</v>
      </c>
      <c r="E12" s="74">
        <f>'Cost per MT CO2e'!$H$26*'CO2e Emissions Rates'!$B12*10^-3</f>
        <v>565.71673306000002</v>
      </c>
    </row>
    <row r="13" spans="1:7">
      <c r="A13" s="72">
        <v>2046</v>
      </c>
      <c r="B13" s="73">
        <f>'Cost per MT CO2e'!$H$21*'CO2e Emissions Rates'!$B13*10^-3</f>
        <v>3160.9450013009491</v>
      </c>
      <c r="C13" s="73">
        <f>'Cost per MT CO2e'!$H$23*'CO2e Emissions Rates'!$B13*10^-3</f>
        <v>7865.3240447438056</v>
      </c>
      <c r="D13" s="73">
        <f>'Cost per MT CO2e'!$H$25*'CO2e Emissions Rates'!$B13*10^-3</f>
        <v>1257.6494329066534</v>
      </c>
      <c r="E13" s="74">
        <f>'Cost per MT CO2e'!$H$26*'CO2e Emissions Rates'!$B13*10^-3</f>
        <v>551.71329412999989</v>
      </c>
    </row>
    <row r="14" spans="1:7">
      <c r="A14" s="72">
        <v>2048</v>
      </c>
      <c r="B14" s="73">
        <f>'Cost per MT CO2e'!$H$21*'CO2e Emissions Rates'!$B14*10^-3</f>
        <v>2970.6873500897095</v>
      </c>
      <c r="C14" s="73">
        <f>'Cost per MT CO2e'!$H$23*'CO2e Emissions Rates'!$B14*10^-3</f>
        <v>7391.9092658873697</v>
      </c>
      <c r="D14" s="73">
        <f>'Cost per MT CO2e'!$H$25*'CO2e Emissions Rates'!$B14*10^-3</f>
        <v>1181.9513656978002</v>
      </c>
      <c r="E14" s="74">
        <f>'Cost per MT CO2e'!$H$26*'CO2e Emissions Rates'!$B14*10^-3</f>
        <v>518.50560610000002</v>
      </c>
    </row>
    <row r="15" spans="1:7">
      <c r="A15" s="75">
        <v>2050</v>
      </c>
      <c r="B15" s="76">
        <f>'Cost per MT CO2e'!$H$21*'CO2e Emissions Rates'!$B15*10^-3</f>
        <v>2905.4061348190548</v>
      </c>
      <c r="C15" s="76">
        <f>'Cost per MT CO2e'!$H$23*'CO2e Emissions Rates'!$B15*10^-3</f>
        <v>7229.4711621155384</v>
      </c>
      <c r="D15" s="76">
        <f>'Cost per MT CO2e'!$H$25*'CO2e Emissions Rates'!$B15*10^-3</f>
        <v>1155.9778409035362</v>
      </c>
      <c r="E15" s="77">
        <f>'Cost per MT CO2e'!$H$26*'CO2e Emissions Rates'!$B15*10^-3</f>
        <v>507.11138243999994</v>
      </c>
    </row>
    <row r="16" spans="1:7">
      <c r="A16" s="78" t="s">
        <v>65</v>
      </c>
      <c r="B16" s="79">
        <f t="shared" ref="B16:E16" si="0">AVERAGE(B2:B5)</f>
        <v>5691.7764694453526</v>
      </c>
      <c r="C16" s="79">
        <f t="shared" si="0"/>
        <v>14162.747628956065</v>
      </c>
      <c r="D16" s="79">
        <f t="shared" si="0"/>
        <v>2264.5947481159146</v>
      </c>
      <c r="E16" s="80">
        <f t="shared" si="0"/>
        <v>993.4461827450001</v>
      </c>
      <c r="F16" s="33"/>
      <c r="G16" s="33"/>
    </row>
    <row r="17" spans="1:5">
      <c r="A17" s="81" t="s">
        <v>66</v>
      </c>
      <c r="B17" s="82">
        <f t="shared" ref="B17:E17" si="1">AVERAGE(B2:B15)</f>
        <v>4093.4520049577618</v>
      </c>
      <c r="C17" s="82">
        <f t="shared" si="1"/>
        <v>10185.664877860256</v>
      </c>
      <c r="D17" s="82">
        <f t="shared" si="1"/>
        <v>1628.6672468350189</v>
      </c>
      <c r="E17" s="83">
        <f t="shared" si="1"/>
        <v>714.47364287857124</v>
      </c>
    </row>
    <row r="18" spans="1:5">
      <c r="A18" s="84" t="s">
        <v>67</v>
      </c>
      <c r="B18" s="85" t="s">
        <v>26</v>
      </c>
      <c r="C18" s="85" t="s">
        <v>31</v>
      </c>
      <c r="D18" s="85" t="s">
        <v>36</v>
      </c>
      <c r="E18" s="86" t="s">
        <v>37</v>
      </c>
    </row>
    <row r="19" spans="1:5">
      <c r="A19" s="69">
        <v>2024</v>
      </c>
      <c r="B19" s="70">
        <f>'Cost per MT CO2e'!$I$21*'CO2e Emissions Rates'!$B2*10^-3</f>
        <v>17872.617948610201</v>
      </c>
      <c r="C19" s="70">
        <f>'Cost per MT CO2e'!$I$23*'CO2e Emissions Rates'!$B2*10^-3</f>
        <v>28068.581254475674</v>
      </c>
      <c r="D19" s="70">
        <f>'Cost per MT CO2e'!$I$25*'CO2e Emissions Rates'!$B2*10^-3</f>
        <v>3993.5978688691803</v>
      </c>
      <c r="E19" s="71">
        <f>'Cost per MT CO2e'!$I$26*'CO2e Emissions Rates'!$B2*10^-3</f>
        <v>1540.7023770642861</v>
      </c>
    </row>
    <row r="20" spans="1:5">
      <c r="A20" s="72">
        <v>2026</v>
      </c>
      <c r="B20" s="70">
        <f>'Cost per MT CO2e'!$I$21*'CO2e Emissions Rates'!$B3*10^-3</f>
        <v>16277.92187816309</v>
      </c>
      <c r="C20" s="70">
        <f>'Cost per MT CO2e'!$I$23*'CO2e Emissions Rates'!$B3*10^-3</f>
        <v>25564.143664065559</v>
      </c>
      <c r="D20" s="70">
        <f>'Cost per MT CO2e'!$I$25*'CO2e Emissions Rates'!$B3*10^-3</f>
        <v>3637.266477086318</v>
      </c>
      <c r="E20" s="71">
        <f>'Cost per MT CO2e'!$I$26*'CO2e Emissions Rates'!$B3*10^-3</f>
        <v>1403.2321959471431</v>
      </c>
    </row>
    <row r="21" spans="1:5" ht="15.75" customHeight="1">
      <c r="A21" s="72">
        <v>2028</v>
      </c>
      <c r="B21" s="70">
        <f>'Cost per MT CO2e'!$I$21*'CO2e Emissions Rates'!$B4*10^-3</f>
        <v>13506.12915289484</v>
      </c>
      <c r="C21" s="70">
        <f>'Cost per MT CO2e'!$I$23*'CO2e Emissions Rates'!$B4*10^-3</f>
        <v>21211.099831681378</v>
      </c>
      <c r="D21" s="70">
        <f>'Cost per MT CO2e'!$I$25*'CO2e Emissions Rates'!$B4*10^-3</f>
        <v>3017.9153807664215</v>
      </c>
      <c r="E21" s="71">
        <f>'Cost per MT CO2e'!$I$26*'CO2e Emissions Rates'!$B4*10^-3</f>
        <v>1164.2908358828572</v>
      </c>
    </row>
    <row r="22" spans="1:5" ht="15.75" customHeight="1">
      <c r="A22" s="72">
        <v>2030</v>
      </c>
      <c r="B22" s="70">
        <f>'Cost per MT CO2e'!$I$21*'CO2e Emissions Rates'!$B5*10^-3</f>
        <v>11611.051683403592</v>
      </c>
      <c r="C22" s="70">
        <f>'Cost per MT CO2e'!$I$23*'CO2e Emissions Rates'!$B5*10^-3</f>
        <v>18234.919392481785</v>
      </c>
      <c r="D22" s="70">
        <f>'Cost per MT CO2e'!$I$25*'CO2e Emissions Rates'!$B5*10^-3</f>
        <v>2594.4644143068181</v>
      </c>
      <c r="E22" s="71">
        <f>'Cost per MT CO2e'!$I$26*'CO2e Emissions Rates'!$B5*10^-3</f>
        <v>1000.9263880800002</v>
      </c>
    </row>
    <row r="23" spans="1:5" ht="15.75" customHeight="1">
      <c r="A23" s="72">
        <v>2032</v>
      </c>
      <c r="B23" s="70">
        <f>'Cost per MT CO2e'!$I$21*'CO2e Emissions Rates'!$B6*10^-3</f>
        <v>11744.608124164633</v>
      </c>
      <c r="C23" s="70">
        <f>'Cost per MT CO2e'!$I$23*'CO2e Emissions Rates'!$B6*10^-3</f>
        <v>18444.667053419806</v>
      </c>
      <c r="D23" s="70">
        <f>'Cost per MT CO2e'!$I$25*'CO2e Emissions Rates'!$B6*10^-3</f>
        <v>2624.3073124614511</v>
      </c>
      <c r="E23" s="71">
        <f>'Cost per MT CO2e'!$I$26*'CO2e Emissions Rates'!$B6*10^-3</f>
        <v>1012.4395713385717</v>
      </c>
    </row>
    <row r="24" spans="1:5" ht="15.75" customHeight="1">
      <c r="A24" s="72">
        <v>2034</v>
      </c>
      <c r="B24" s="70">
        <f>'Cost per MT CO2e'!$I$21*'CO2e Emissions Rates'!$B7*10^-3</f>
        <v>9795.4818223051079</v>
      </c>
      <c r="C24" s="70">
        <f>'Cost per MT CO2e'!$I$23*'CO2e Emissions Rates'!$B7*10^-3</f>
        <v>15383.604027494495</v>
      </c>
      <c r="D24" s="70">
        <f>'Cost per MT CO2e'!$I$25*'CO2e Emissions Rates'!$B7*10^-3</f>
        <v>2188.7792511754797</v>
      </c>
      <c r="E24" s="71">
        <f>'Cost per MT CO2e'!$I$26*'CO2e Emissions Rates'!$B7*10^-3</f>
        <v>844.41586406142869</v>
      </c>
    </row>
    <row r="25" spans="1:5" ht="15.75" customHeight="1">
      <c r="A25" s="72">
        <v>2036</v>
      </c>
      <c r="B25" s="70">
        <f>'Cost per MT CO2e'!$I$21*'CO2e Emissions Rates'!$B8*10^-3</f>
        <v>9550.8256515929279</v>
      </c>
      <c r="C25" s="70">
        <f>'Cost per MT CO2e'!$I$23*'CO2e Emissions Rates'!$B8*10^-3</f>
        <v>14999.376511033894</v>
      </c>
      <c r="D25" s="70">
        <f>'Cost per MT CO2e'!$I$25*'CO2e Emissions Rates'!$B8*10^-3</f>
        <v>2134.111358381529</v>
      </c>
      <c r="E25" s="71">
        <f>'Cost per MT CO2e'!$I$26*'CO2e Emissions Rates'!$B8*10^-3</f>
        <v>823.32536994000009</v>
      </c>
    </row>
    <row r="26" spans="1:5" ht="15.75" customHeight="1">
      <c r="A26" s="72">
        <v>2038</v>
      </c>
      <c r="B26" s="70">
        <f>'Cost per MT CO2e'!$I$21*'CO2e Emissions Rates'!$B9*10^-3</f>
        <v>9109.5337235541501</v>
      </c>
      <c r="C26" s="70">
        <f>'Cost per MT CO2e'!$I$23*'CO2e Emissions Rates'!$B9*10^-3</f>
        <v>14306.336556019141</v>
      </c>
      <c r="D26" s="70">
        <f>'Cost per MT CO2e'!$I$25*'CO2e Emissions Rates'!$B9*10^-3</f>
        <v>2035.5056304220234</v>
      </c>
      <c r="E26" s="71">
        <f>'Cost per MT CO2e'!$I$26*'CO2e Emissions Rates'!$B9*10^-3</f>
        <v>785.28396355714301</v>
      </c>
    </row>
    <row r="27" spans="1:5" ht="15.75" customHeight="1">
      <c r="A27" s="72">
        <v>2040</v>
      </c>
      <c r="B27" s="70">
        <f>'Cost per MT CO2e'!$I$21*'CO2e Emissions Rates'!$B10*10^-3</f>
        <v>9238.1314132293464</v>
      </c>
      <c r="C27" s="70">
        <f>'Cost per MT CO2e'!$I$23*'CO2e Emissions Rates'!$B10*10^-3</f>
        <v>14508.296599710826</v>
      </c>
      <c r="D27" s="70">
        <f>'Cost per MT CO2e'!$I$25*'CO2e Emissions Rates'!$B10*10^-3</f>
        <v>2064.2405063593396</v>
      </c>
      <c r="E27" s="71">
        <f>'Cost per MT CO2e'!$I$26*'CO2e Emissions Rates'!$B10*10^-3</f>
        <v>796.36967952428586</v>
      </c>
    </row>
    <row r="28" spans="1:5" ht="15.75" customHeight="1">
      <c r="A28" s="72">
        <v>2042</v>
      </c>
      <c r="B28" s="70">
        <f>'Cost per MT CO2e'!$I$21*'CO2e Emissions Rates'!$B11*10^-3</f>
        <v>8516.864843039577</v>
      </c>
      <c r="C28" s="70">
        <f>'Cost per MT CO2e'!$I$23*'CO2e Emissions Rates'!$B11*10^-3</f>
        <v>13375.562190587354</v>
      </c>
      <c r="D28" s="70">
        <f>'Cost per MT CO2e'!$I$25*'CO2e Emissions Rates'!$B11*10^-3</f>
        <v>1903.075049464401</v>
      </c>
      <c r="E28" s="71">
        <f>'Cost per MT CO2e'!$I$26*'CO2e Emissions Rates'!$B11*10^-3</f>
        <v>734.19316333714289</v>
      </c>
    </row>
    <row r="29" spans="1:5" ht="15.75" customHeight="1">
      <c r="A29" s="72">
        <v>2044</v>
      </c>
      <c r="B29" s="70">
        <f>'Cost per MT CO2e'!$I$21*'CO2e Emissions Rates'!$B12*10^-3</f>
        <v>8437.4830493540248</v>
      </c>
      <c r="C29" s="70">
        <f>'Cost per MT CO2e'!$I$23*'CO2e Emissions Rates'!$B12*10^-3</f>
        <v>13250.894705801657</v>
      </c>
      <c r="D29" s="70">
        <f>'Cost per MT CO2e'!$I$25*'CO2e Emissions Rates'!$B12*10^-3</f>
        <v>1885.3373591606542</v>
      </c>
      <c r="E29" s="71">
        <f>'Cost per MT CO2e'!$I$26*'CO2e Emissions Rates'!$B12*10^-3</f>
        <v>727.35008536285739</v>
      </c>
    </row>
    <row r="30" spans="1:5" ht="15.75" customHeight="1">
      <c r="A30" s="72">
        <v>2046</v>
      </c>
      <c r="B30" s="70">
        <f>'Cost per MT CO2e'!$I$21*'CO2e Emissions Rates'!$B13*10^-3</f>
        <v>8228.6262634402738</v>
      </c>
      <c r="C30" s="70">
        <f>'Cost per MT CO2e'!$I$23*'CO2e Emissions Rates'!$B13*10^-3</f>
        <v>12922.889391592798</v>
      </c>
      <c r="D30" s="70">
        <f>'Cost per MT CO2e'!$I$25*'CO2e Emissions Rates'!$B13*10^-3</f>
        <v>1838.6687615594344</v>
      </c>
      <c r="E30" s="71">
        <f>'Cost per MT CO2e'!$I$26*'CO2e Emissions Rates'!$B13*10^-3</f>
        <v>709.34566388142866</v>
      </c>
    </row>
    <row r="31" spans="1:5" ht="15.75" customHeight="1">
      <c r="A31" s="72">
        <v>2048</v>
      </c>
      <c r="B31" s="70">
        <f>'Cost per MT CO2e'!$I$21*'CO2e Emissions Rates'!$B14*10^-3</f>
        <v>7733.3442813327283</v>
      </c>
      <c r="C31" s="70">
        <f>'Cost per MT CO2e'!$I$23*'CO2e Emissions Rates'!$B14*10^-3</f>
        <v>12145.059159970553</v>
      </c>
      <c r="D31" s="70">
        <f>'Cost per MT CO2e'!$I$25*'CO2e Emissions Rates'!$B14*10^-3</f>
        <v>1727.9990726576025</v>
      </c>
      <c r="E31" s="71">
        <f>'Cost per MT CO2e'!$I$26*'CO2e Emissions Rates'!$B14*10^-3</f>
        <v>666.65006498571438</v>
      </c>
    </row>
    <row r="32" spans="1:5" ht="15.75" customHeight="1">
      <c r="A32" s="87">
        <v>2050</v>
      </c>
      <c r="B32" s="88">
        <f>'Cost per MT CO2e'!$I$21*'CO2e Emissions Rates'!$B15*10^-3</f>
        <v>7563.4031016335193</v>
      </c>
      <c r="C32" s="88">
        <f>'Cost per MT CO2e'!$I$23*'CO2e Emissions Rates'!$B15*10^-3</f>
        <v>11878.170010066266</v>
      </c>
      <c r="D32" s="88">
        <f>'Cost per MT CO2e'!$I$25*'CO2e Emissions Rates'!$B15*10^-3</f>
        <v>1690.026083192304</v>
      </c>
      <c r="E32" s="89">
        <f>'Cost per MT CO2e'!$I$26*'CO2e Emissions Rates'!$B15*10^-3</f>
        <v>652.00034885142861</v>
      </c>
    </row>
    <row r="33" spans="1:5" ht="15.75" customHeight="1">
      <c r="A33" s="90" t="s">
        <v>65</v>
      </c>
      <c r="B33" s="91">
        <f t="shared" ref="B33:E33" si="2">AVERAGE(B19:B22)</f>
        <v>14816.930165767932</v>
      </c>
      <c r="C33" s="91">
        <f t="shared" si="2"/>
        <v>23269.686035676099</v>
      </c>
      <c r="D33" s="91">
        <f t="shared" si="2"/>
        <v>3310.8110352571848</v>
      </c>
      <c r="E33" s="92">
        <f t="shared" si="2"/>
        <v>1277.2879492435716</v>
      </c>
    </row>
    <row r="34" spans="1:5" ht="15.75" customHeight="1">
      <c r="A34" s="81" t="s">
        <v>66</v>
      </c>
      <c r="B34" s="82">
        <f t="shared" ref="B34:E34" si="3">AVERAGE(B19:B32)</f>
        <v>10656.144495479859</v>
      </c>
      <c r="C34" s="82">
        <f t="shared" si="3"/>
        <v>16735.257167742941</v>
      </c>
      <c r="D34" s="82">
        <f t="shared" si="3"/>
        <v>2381.0924661330682</v>
      </c>
      <c r="E34" s="83">
        <f t="shared" si="3"/>
        <v>918.60896941530632</v>
      </c>
    </row>
    <row r="35" spans="1:5" ht="15.75" customHeight="1"/>
    <row r="36" spans="1:5" ht="15.75" customHeight="1"/>
    <row r="37" spans="1:5" ht="15.75" customHeight="1"/>
    <row r="38" spans="1:5" ht="15.75" customHeight="1"/>
    <row r="39" spans="1:5" ht="15.75" customHeight="1"/>
    <row r="40" spans="1:5" ht="15.75" customHeight="1"/>
    <row r="41" spans="1:5" ht="15.75" customHeight="1"/>
    <row r="42" spans="1:5" ht="15.75" customHeight="1"/>
    <row r="43" spans="1:5" ht="15.75" customHeight="1"/>
    <row r="44" spans="1:5" ht="15.75" customHeight="1"/>
    <row r="45" spans="1:5" ht="15.75" customHeight="1"/>
    <row r="46" spans="1:5" ht="15.75" customHeight="1"/>
    <row r="47" spans="1:5" ht="15.75" customHeight="1"/>
    <row r="48" spans="1:5"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D1000"/>
  <sheetViews>
    <sheetView workbookViewId="0"/>
  </sheetViews>
  <sheetFormatPr baseColWidth="10" defaultColWidth="12.6640625" defaultRowHeight="15" customHeight="1"/>
  <cols>
    <col min="1" max="1" width="16.33203125" customWidth="1"/>
    <col min="2" max="2" width="15.33203125" customWidth="1"/>
    <col min="3" max="3" width="15.1640625" customWidth="1"/>
    <col min="4" max="30" width="8.6640625" customWidth="1"/>
  </cols>
  <sheetData>
    <row r="1" spans="1:3">
      <c r="A1" s="93" t="s">
        <v>42</v>
      </c>
      <c r="B1" s="94" t="s">
        <v>43</v>
      </c>
      <c r="C1" s="95" t="s">
        <v>68</v>
      </c>
    </row>
    <row r="2" spans="1:3">
      <c r="A2" s="69">
        <v>2024</v>
      </c>
      <c r="B2" s="96">
        <v>0.36792265000000002</v>
      </c>
      <c r="C2" s="97">
        <f t="shared" ref="C2:C15" si="0">B2/1000</f>
        <v>3.6792265000000002E-4</v>
      </c>
    </row>
    <row r="3" spans="1:3">
      <c r="A3" s="72">
        <v>2026</v>
      </c>
      <c r="B3" s="98">
        <v>0.33509451000000001</v>
      </c>
      <c r="C3" s="99">
        <f t="shared" si="0"/>
        <v>3.3509451E-4</v>
      </c>
    </row>
    <row r="4" spans="1:3">
      <c r="A4" s="72">
        <v>2028</v>
      </c>
      <c r="B4" s="98">
        <v>0.27803485999999999</v>
      </c>
      <c r="C4" s="99">
        <f t="shared" si="0"/>
        <v>2.7803486000000001E-4</v>
      </c>
    </row>
    <row r="5" spans="1:3">
      <c r="A5" s="72">
        <v>2030</v>
      </c>
      <c r="B5" s="98">
        <v>0.23902312000000001</v>
      </c>
      <c r="C5" s="99">
        <f t="shared" si="0"/>
        <v>2.3902312E-4</v>
      </c>
    </row>
    <row r="6" spans="1:3">
      <c r="A6" s="72">
        <v>2032</v>
      </c>
      <c r="B6" s="98">
        <v>0.24177249000000001</v>
      </c>
      <c r="C6" s="99">
        <f t="shared" si="0"/>
        <v>2.4177249000000001E-4</v>
      </c>
    </row>
    <row r="7" spans="1:3">
      <c r="A7" s="72">
        <v>2034</v>
      </c>
      <c r="B7" s="98">
        <v>0.20164810999999999</v>
      </c>
      <c r="C7" s="99">
        <f t="shared" si="0"/>
        <v>2.0164810999999999E-4</v>
      </c>
    </row>
    <row r="8" spans="1:3">
      <c r="A8" s="72">
        <v>2036</v>
      </c>
      <c r="B8" s="98">
        <v>0.19661165999999999</v>
      </c>
      <c r="C8" s="99">
        <f t="shared" si="0"/>
        <v>1.9661165999999998E-4</v>
      </c>
    </row>
    <row r="9" spans="1:3">
      <c r="A9" s="72">
        <v>2038</v>
      </c>
      <c r="B9" s="98">
        <v>0.18752730000000001</v>
      </c>
      <c r="C9" s="99">
        <f t="shared" si="0"/>
        <v>1.8752730000000002E-4</v>
      </c>
    </row>
    <row r="10" spans="1:3">
      <c r="A10" s="72">
        <v>2040</v>
      </c>
      <c r="B10" s="98">
        <v>0.19017459</v>
      </c>
      <c r="C10" s="99">
        <f t="shared" si="0"/>
        <v>1.9017459000000001E-4</v>
      </c>
    </row>
    <row r="11" spans="1:3">
      <c r="A11" s="72">
        <v>2042</v>
      </c>
      <c r="B11" s="98">
        <v>0.17532671999999999</v>
      </c>
      <c r="C11" s="99">
        <f t="shared" si="0"/>
        <v>1.7532672E-4</v>
      </c>
    </row>
    <row r="12" spans="1:3">
      <c r="A12" s="72">
        <v>2044</v>
      </c>
      <c r="B12" s="98">
        <v>0.17369258000000001</v>
      </c>
      <c r="C12" s="99">
        <f t="shared" si="0"/>
        <v>1.7369258000000002E-4</v>
      </c>
    </row>
    <row r="13" spans="1:3">
      <c r="A13" s="72">
        <v>2046</v>
      </c>
      <c r="B13" s="98">
        <v>0.16939309</v>
      </c>
      <c r="C13" s="99">
        <f t="shared" si="0"/>
        <v>1.6939308999999999E-4</v>
      </c>
    </row>
    <row r="14" spans="1:3">
      <c r="A14" s="72">
        <v>2048</v>
      </c>
      <c r="B14" s="98">
        <v>0.15919730000000001</v>
      </c>
      <c r="C14" s="99">
        <f t="shared" si="0"/>
        <v>1.5919730000000002E-4</v>
      </c>
    </row>
    <row r="15" spans="1:3">
      <c r="A15" s="87">
        <v>2050</v>
      </c>
      <c r="B15" s="100">
        <v>0.15569891999999999</v>
      </c>
      <c r="C15" s="101">
        <f t="shared" si="0"/>
        <v>1.5569892E-4</v>
      </c>
    </row>
    <row r="16" spans="1:3">
      <c r="A16" s="90" t="s">
        <v>69</v>
      </c>
      <c r="B16" s="102">
        <f t="shared" ref="B16:C16" si="1">AVERAGE(B2:B5)</f>
        <v>0.30501878500000001</v>
      </c>
      <c r="C16" s="103">
        <f t="shared" si="1"/>
        <v>3.0501878500000001E-4</v>
      </c>
    </row>
    <row r="17" spans="1:30">
      <c r="A17" s="81" t="s">
        <v>70</v>
      </c>
      <c r="B17" s="104">
        <f t="shared" ref="B17:C17" si="2">AVERAGE(B2:B15)</f>
        <v>0.21936556428571427</v>
      </c>
      <c r="C17" s="105">
        <f t="shared" si="2"/>
        <v>2.1936556428571428E-4</v>
      </c>
    </row>
    <row r="21" spans="1:30" ht="15.75" customHeight="1"/>
    <row r="22" spans="1:30" ht="15.75" customHeight="1"/>
    <row r="23" spans="1:30" ht="15.75" customHeight="1"/>
    <row r="24" spans="1:30" ht="15.75" customHeight="1"/>
    <row r="25" spans="1:30" ht="15.75" customHeight="1"/>
    <row r="26" spans="1:30" ht="15.75" customHeight="1"/>
    <row r="27" spans="1:30" ht="15.75" customHeight="1"/>
    <row r="28" spans="1:30" ht="15.75" customHeight="1"/>
    <row r="29" spans="1:30" ht="15.75" customHeight="1"/>
    <row r="30" spans="1:30" ht="14.25" customHeight="1"/>
    <row r="31" spans="1:30" ht="15.75" customHeight="1">
      <c r="A31" s="93" t="s">
        <v>42</v>
      </c>
      <c r="B31" s="69">
        <v>2024</v>
      </c>
      <c r="C31" s="106">
        <v>2025</v>
      </c>
      <c r="D31" s="72">
        <v>2026</v>
      </c>
      <c r="E31" s="69">
        <v>2027</v>
      </c>
      <c r="F31" s="106">
        <v>2028</v>
      </c>
      <c r="G31" s="72">
        <v>2029</v>
      </c>
      <c r="H31" s="69">
        <v>2030</v>
      </c>
      <c r="I31" s="106">
        <v>2031</v>
      </c>
      <c r="J31" s="72">
        <v>2032</v>
      </c>
      <c r="K31" s="69">
        <v>2033</v>
      </c>
      <c r="L31" s="106">
        <v>2034</v>
      </c>
      <c r="M31" s="72">
        <v>2035</v>
      </c>
      <c r="N31" s="69">
        <v>2036</v>
      </c>
      <c r="O31" s="106">
        <v>2037</v>
      </c>
      <c r="P31" s="72">
        <v>2038</v>
      </c>
      <c r="Q31" s="69">
        <v>2039</v>
      </c>
      <c r="R31" s="106">
        <v>2040</v>
      </c>
      <c r="S31" s="72">
        <v>2041</v>
      </c>
      <c r="T31" s="69">
        <v>2042</v>
      </c>
      <c r="U31" s="106">
        <v>2043</v>
      </c>
      <c r="V31" s="72">
        <v>2044</v>
      </c>
      <c r="W31" s="69">
        <v>2045</v>
      </c>
      <c r="X31" s="106">
        <v>2046</v>
      </c>
      <c r="Y31" s="72">
        <v>2047</v>
      </c>
      <c r="Z31" s="69">
        <v>2048</v>
      </c>
      <c r="AA31" s="106">
        <v>2049</v>
      </c>
      <c r="AB31" s="72">
        <v>2050</v>
      </c>
      <c r="AC31" s="90" t="s">
        <v>69</v>
      </c>
      <c r="AD31" s="81" t="s">
        <v>70</v>
      </c>
    </row>
    <row r="32" spans="1:30" ht="15.75" customHeight="1">
      <c r="A32" s="94" t="s">
        <v>43</v>
      </c>
      <c r="B32" s="96">
        <v>0.36792265000000002</v>
      </c>
      <c r="C32" s="106">
        <f>D32+(C31-D31)*((B32-D32)/(B31-D31))</f>
        <v>0.35150858000000001</v>
      </c>
      <c r="D32" s="98">
        <v>0.33509451000000001</v>
      </c>
      <c r="E32" s="106">
        <f>F32+(E31-F31)*((D32-F32)/(D31-F31))</f>
        <v>0.306564685</v>
      </c>
      <c r="F32" s="98">
        <v>0.27803485999999999</v>
      </c>
      <c r="G32" s="106">
        <f>H32+(G31-H31)*((F32-H32)/(F31-H31))</f>
        <v>0.25852899000000001</v>
      </c>
      <c r="H32" s="98">
        <v>0.23902312000000001</v>
      </c>
      <c r="I32" s="106">
        <f>J32+(I31-J31)*((H32-J32)/(H31-J31))</f>
        <v>0.24039780500000002</v>
      </c>
      <c r="J32" s="98">
        <v>0.24177249000000001</v>
      </c>
      <c r="K32" s="106">
        <f>L32+(K31-L31)*((J32-L32)/(J31-L31))</f>
        <v>0.2217103</v>
      </c>
      <c r="L32" s="98">
        <v>0.20164810999999999</v>
      </c>
      <c r="M32" s="106">
        <f>N32+(M31-N31)*((L32-N32)/(L31-N31))</f>
        <v>0.19912988500000001</v>
      </c>
      <c r="N32" s="98">
        <v>0.19661165999999999</v>
      </c>
      <c r="O32" s="106">
        <f>P32+(O31-P31)*((N32-P32)/(N31-P31))</f>
        <v>0.19206948000000001</v>
      </c>
      <c r="P32" s="98">
        <v>0.18752730000000001</v>
      </c>
      <c r="Q32" s="106">
        <f>R32+(Q31-R31)*((P32-R32)/(P31-R31))</f>
        <v>0.18885094499999999</v>
      </c>
      <c r="R32" s="98">
        <v>0.19017459</v>
      </c>
      <c r="S32" s="106">
        <f>T32+(S31-T31)*((R32-T32)/(R31-T31))</f>
        <v>0.18275065499999998</v>
      </c>
      <c r="T32" s="98">
        <v>0.17532671999999999</v>
      </c>
      <c r="U32" s="106">
        <f>V32+(U31-V31)*((T32-V32)/(T31-V31))</f>
        <v>0.17450965000000002</v>
      </c>
      <c r="V32" s="98">
        <v>0.17369258000000001</v>
      </c>
      <c r="W32" s="106">
        <f>X32+(W31-X31)*((V32-X32)/(V31-X31))</f>
        <v>0.171542835</v>
      </c>
      <c r="X32" s="98">
        <v>0.16939309</v>
      </c>
      <c r="Y32" s="106">
        <f>Z32+(Y31-Z31)*((X32-Z32)/(X31-Z31))</f>
        <v>0.164295195</v>
      </c>
      <c r="Z32" s="98">
        <v>0.15919730000000001</v>
      </c>
      <c r="AA32" s="106">
        <f>AB32+(AA31-AB31)*((Z32-AB32)/(Z31-AB31))</f>
        <v>0.15744811</v>
      </c>
      <c r="AB32" s="100">
        <v>0.15569891999999999</v>
      </c>
      <c r="AC32" s="102">
        <f>AVERAGE(B32:H32)</f>
        <v>0.30523962785714287</v>
      </c>
      <c r="AD32" s="104">
        <f>AVERAGE(B32:AB32)</f>
        <v>0.21779351907407404</v>
      </c>
    </row>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ageMargins left="0.7" right="0.7" top="0.75" bottom="0.75" header="0" footer="0"/>
  <pageSetup orientation="landscape"/>
  <drawing r:id="rId1"/>
  <legacy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Cost per MT CO2e</vt:lpstr>
      <vt:lpstr>Cost per MT CO2e (w backpacks)</vt:lpstr>
      <vt:lpstr>MT CO2e per Year</vt:lpstr>
      <vt:lpstr>CO2e Emissions Rates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Debra Figueroa</cp:lastModifiedBy>
  <dcterms:created xsi:type="dcterms:W3CDTF">2024-03-25T14:04:36Z</dcterms:created>
  <dcterms:modified xsi:type="dcterms:W3CDTF">2024-04-02T02:58:15Z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0x010100482D06D3115AA44AA45659BC8CAF738A</vt:lpwstr>
  </property>
  <property fmtid="{D5CDD505-2E9C-101B-9397-08002B2CF9AE}" pid="3" name="MediaServiceImageTags">
    <vt:lpwstr/>
  </property>
</Properties>
</file>