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886beae0b368b6c/TCC CPRG/"/>
    </mc:Choice>
  </mc:AlternateContent>
  <xr:revisionPtr revIDLastSave="19" documentId="8_{14A7D39D-7D2B-4799-8851-035AFE109C00}" xr6:coauthVersionLast="47" xr6:coauthVersionMax="47" xr10:uidLastSave="{F20124A3-1ABC-44E6-A18B-2DE2A0ADF875}"/>
  <bookViews>
    <workbookView xWindow="-108" yWindow="-108" windowWidth="23256" windowHeight="13896" xr2:uid="{31FAE2D6-0AAB-44FB-8907-C21D76DC4A22}"/>
  </bookViews>
  <sheets>
    <sheet name="GHG Calculations" sheetId="2" r:id="rId1"/>
    <sheet name="Assumption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2" l="1"/>
  <c r="I14" i="2"/>
  <c r="J14" i="2"/>
  <c r="E25" i="2"/>
  <c r="E27" i="2" s="1"/>
  <c r="I3" i="2"/>
  <c r="B14" i="2"/>
  <c r="B18" i="2" s="1"/>
  <c r="F4" i="2"/>
  <c r="F8" i="2" s="1"/>
  <c r="G4" i="2"/>
  <c r="G8" i="2" s="1"/>
  <c r="H4" i="2"/>
  <c r="H8" i="2" s="1"/>
  <c r="E4" i="2"/>
  <c r="C8" i="2"/>
  <c r="G14" i="2" s="1"/>
  <c r="G16" i="2" l="1"/>
  <c r="G18" i="2" s="1"/>
  <c r="J16" i="2"/>
  <c r="J18" i="2" s="1"/>
  <c r="I16" i="2"/>
  <c r="I18" i="2" s="1"/>
  <c r="H16" i="2"/>
  <c r="H18" i="2" s="1"/>
  <c r="E14" i="2"/>
  <c r="E18" i="2" s="1"/>
  <c r="I4" i="2"/>
  <c r="E8" i="2"/>
  <c r="C16" i="2" l="1"/>
  <c r="F16" i="2" s="1"/>
  <c r="C14" i="2"/>
  <c r="I8" i="2"/>
  <c r="B25" i="2" l="1"/>
  <c r="C25" i="2"/>
  <c r="C18" i="2"/>
  <c r="F14" i="2"/>
  <c r="B23" i="2" l="1"/>
  <c r="C23" i="2"/>
  <c r="C27" i="2" s="1"/>
  <c r="D25" i="2"/>
  <c r="F25" i="2" s="1"/>
  <c r="F18" i="2"/>
  <c r="D23" i="2" l="1"/>
  <c r="B27" i="2"/>
  <c r="D27" i="2" l="1"/>
  <c r="F27" i="2" s="1"/>
  <c r="F23" i="2"/>
</calcChain>
</file>

<file path=xl/sharedStrings.xml><?xml version="1.0" encoding="utf-8"?>
<sst xmlns="http://schemas.openxmlformats.org/spreadsheetml/2006/main" count="82" uniqueCount="61">
  <si>
    <t>Total</t>
  </si>
  <si>
    <t>NOx</t>
  </si>
  <si>
    <t>N20</t>
  </si>
  <si>
    <t>NH4</t>
  </si>
  <si>
    <t>C02</t>
  </si>
  <si>
    <t>Capital Cost</t>
  </si>
  <si>
    <t>Reduced Emissions - EPA Factors</t>
  </si>
  <si>
    <t>Current Diesel Efficiency (g/kwh)</t>
  </si>
  <si>
    <t>Annual fuel Use (g)</t>
  </si>
  <si>
    <t>Measure 1: Intertie</t>
  </si>
  <si>
    <t>Measure 2: Solar PV and BESS</t>
  </si>
  <si>
    <t>2025-2030</t>
  </si>
  <si>
    <t>2030-2050</t>
  </si>
  <si>
    <t>2025-2050</t>
  </si>
  <si>
    <t>Short Term Emissions Reductions (MT)</t>
  </si>
  <si>
    <t xml:space="preserve">Long Term Emissions Reductions (MT) </t>
  </si>
  <si>
    <t>Total Emissions Reduction (MT)</t>
  </si>
  <si>
    <t xml:space="preserve">Capital Cost/MT </t>
  </si>
  <si>
    <t>Measure 1: 69 kV Intertie</t>
  </si>
  <si>
    <t>kg/gallon</t>
  </si>
  <si>
    <t>Tok - Tetlin - Tanacross - Dot Lake</t>
  </si>
  <si>
    <t>Baseline Emissions</t>
  </si>
  <si>
    <t>MT/gallon</t>
  </si>
  <si>
    <t>Community</t>
  </si>
  <si>
    <t>Annual kwh (diesel generation)</t>
  </si>
  <si>
    <t>Source</t>
  </si>
  <si>
    <t>PCE FY23 Report</t>
  </si>
  <si>
    <t>Helioscope Analysis</t>
  </si>
  <si>
    <t>GVEA Emissions Mix report</t>
  </si>
  <si>
    <t>Emissions / kwh (MT)</t>
  </si>
  <si>
    <t>Electricity generated / purchased (kwh)</t>
  </si>
  <si>
    <t>Measure Emissions (MT)</t>
  </si>
  <si>
    <t>Clean Energy ( 0 /kwh)</t>
  </si>
  <si>
    <t>kwh generated * MT / kwh / diesel efficiency</t>
  </si>
  <si>
    <t>kwh purchased * MT / kwh / diesel efficiency</t>
  </si>
  <si>
    <t>baseline emissions - measure emissions</t>
  </si>
  <si>
    <t>Applicant</t>
  </si>
  <si>
    <t>Project</t>
  </si>
  <si>
    <t>Tanana Chiefs Conference</t>
  </si>
  <si>
    <t>Enhancing Local Energy Connectivity in Tribal Regional Communities, (ELECTRC)</t>
  </si>
  <si>
    <t>Baseline Emissions Calculations</t>
  </si>
  <si>
    <t>Emissions Reductions Calculations</t>
  </si>
  <si>
    <t>Source / Basis</t>
  </si>
  <si>
    <t>Project Completion 2028, F14* 20 years</t>
  </si>
  <si>
    <t>2028 - 2050</t>
  </si>
  <si>
    <t>2026 - 2050</t>
  </si>
  <si>
    <t>Cumbre Estimate</t>
  </si>
  <si>
    <t>EPS Estimate</t>
  </si>
  <si>
    <t xml:space="preserve"> E23 / D23</t>
  </si>
  <si>
    <t>E25 / D25</t>
  </si>
  <si>
    <t>Project Completion 2027, F14* 4 years</t>
  </si>
  <si>
    <t>Project Completion 2029, F14* 3 years</t>
  </si>
  <si>
    <t>Net Annual Emissions Reductions</t>
  </si>
  <si>
    <t>Emissions Factors less GVEA generation mix / kwh</t>
  </si>
  <si>
    <t>Reduced Emissions (MT)</t>
  </si>
  <si>
    <t>E4 * D8</t>
  </si>
  <si>
    <t>F4 * D8</t>
  </si>
  <si>
    <t>G4 * D8</t>
  </si>
  <si>
    <t>H4 * D8</t>
  </si>
  <si>
    <t>I4 * D8</t>
  </si>
  <si>
    <t>B8 - B18, remaining 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</si>
</sst>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(* #,##0.000000_);_(* \(#,##0.000000\);_(* &quot;-&quot;??_);_(@_)"/>
    <numFmt numFmtId="167" formatCode="_(* #,##0.0000000_);_(* \(#,##0.0000000\);_(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Display"/>
      <family val="2"/>
      <scheme val="major"/>
    </font>
    <font>
      <sz val="11"/>
      <color theme="1"/>
      <name val="Aptos Display"/>
      <family val="2"/>
      <scheme val="maj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164" fontId="0" fillId="0" borderId="0" xfId="0" applyNumberFormat="1"/>
    <xf numFmtId="43" fontId="0" fillId="0" borderId="0" xfId="0" applyNumberFormat="1"/>
    <xf numFmtId="0" fontId="0" fillId="0" borderId="2" xfId="0" applyBorder="1"/>
    <xf numFmtId="0" fontId="0" fillId="0" borderId="2" xfId="0" applyBorder="1" applyAlignment="1">
      <alignment horizontal="center"/>
    </xf>
    <xf numFmtId="43" fontId="0" fillId="0" borderId="2" xfId="0" applyNumberFormat="1" applyBorder="1"/>
    <xf numFmtId="165" fontId="0" fillId="0" borderId="2" xfId="2" applyNumberFormat="1" applyFont="1" applyBorder="1"/>
    <xf numFmtId="0" fontId="2" fillId="0" borderId="2" xfId="0" applyFont="1" applyBorder="1"/>
    <xf numFmtId="43" fontId="2" fillId="0" borderId="2" xfId="0" applyNumberFormat="1" applyFont="1" applyBorder="1"/>
    <xf numFmtId="165" fontId="2" fillId="0" borderId="2" xfId="2" applyNumberFormat="1" applyFont="1" applyBorder="1"/>
    <xf numFmtId="44" fontId="2" fillId="0" borderId="2" xfId="2" applyFont="1" applyBorder="1"/>
    <xf numFmtId="164" fontId="0" fillId="0" borderId="2" xfId="0" applyNumberForma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/>
    <xf numFmtId="164" fontId="2" fillId="0" borderId="5" xfId="0" applyNumberFormat="1" applyFont="1" applyBorder="1"/>
    <xf numFmtId="166" fontId="0" fillId="0" borderId="2" xfId="1" applyNumberFormat="1" applyFont="1" applyBorder="1"/>
    <xf numFmtId="164" fontId="5" fillId="0" borderId="2" xfId="0" applyNumberFormat="1" applyFont="1" applyBorder="1"/>
    <xf numFmtId="0" fontId="2" fillId="0" borderId="6" xfId="0" applyFont="1" applyBorder="1"/>
    <xf numFmtId="0" fontId="4" fillId="0" borderId="2" xfId="0" applyFont="1" applyBorder="1" applyAlignment="1">
      <alignment vertical="center" wrapText="1"/>
    </xf>
    <xf numFmtId="164" fontId="4" fillId="0" borderId="2" xfId="1" applyNumberFormat="1" applyFont="1" applyBorder="1" applyAlignment="1">
      <alignment vertical="center" wrapText="1"/>
    </xf>
    <xf numFmtId="0" fontId="5" fillId="0" borderId="2" xfId="0" applyFont="1" applyBorder="1"/>
    <xf numFmtId="164" fontId="5" fillId="0" borderId="2" xfId="1" applyNumberFormat="1" applyFont="1" applyBorder="1"/>
    <xf numFmtId="164" fontId="0" fillId="0" borderId="6" xfId="0" applyNumberForma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0" fillId="0" borderId="2" xfId="0" applyNumberFormat="1" applyBorder="1"/>
    <xf numFmtId="166" fontId="2" fillId="0" borderId="5" xfId="0" applyNumberFormat="1" applyFont="1" applyBorder="1"/>
    <xf numFmtId="166" fontId="0" fillId="0" borderId="6" xfId="1" applyNumberFormat="1" applyFont="1" applyBorder="1"/>
    <xf numFmtId="0" fontId="0" fillId="0" borderId="6" xfId="0" applyBorder="1"/>
    <xf numFmtId="0" fontId="3" fillId="0" borderId="1" xfId="0" applyFont="1" applyBorder="1"/>
    <xf numFmtId="0" fontId="3" fillId="0" borderId="0" xfId="0" applyFont="1"/>
    <xf numFmtId="0" fontId="2" fillId="0" borderId="9" xfId="0" applyFont="1" applyBorder="1"/>
    <xf numFmtId="0" fontId="0" fillId="0" borderId="3" xfId="0" applyBorder="1"/>
    <xf numFmtId="164" fontId="0" fillId="2" borderId="2" xfId="0" applyNumberFormat="1" applyFill="1" applyBorder="1"/>
    <xf numFmtId="164" fontId="0" fillId="2" borderId="6" xfId="0" applyNumberFormat="1" applyFill="1" applyBorder="1"/>
    <xf numFmtId="165" fontId="0" fillId="2" borderId="2" xfId="2" applyNumberFormat="1" applyFont="1" applyFill="1" applyBorder="1"/>
    <xf numFmtId="0" fontId="0" fillId="2" borderId="2" xfId="0" applyFill="1" applyBorder="1"/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0" xfId="0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1795B-2A3F-449A-A522-778F7A2FA998}">
  <dimension ref="A1:J28"/>
  <sheetViews>
    <sheetView tabSelected="1" workbookViewId="0">
      <selection activeCell="C8" sqref="C8"/>
    </sheetView>
  </sheetViews>
  <sheetFormatPr defaultRowHeight="14.4" x14ac:dyDescent="0.3"/>
  <cols>
    <col min="1" max="1" width="30.21875" customWidth="1"/>
    <col min="2" max="2" width="34" bestFit="1" customWidth="1"/>
    <col min="3" max="3" width="37.21875" bestFit="1" customWidth="1"/>
    <col min="4" max="4" width="27.109375" bestFit="1" customWidth="1"/>
    <col min="5" max="5" width="21" bestFit="1" customWidth="1"/>
    <col min="6" max="6" width="34.88671875" bestFit="1" customWidth="1"/>
    <col min="7" max="7" width="9.6640625" bestFit="1" customWidth="1"/>
    <col min="8" max="8" width="11.21875" bestFit="1" customWidth="1"/>
    <col min="9" max="9" width="12" bestFit="1" customWidth="1"/>
  </cols>
  <sheetData>
    <row r="1" spans="1:10" x14ac:dyDescent="0.3">
      <c r="A1" s="1" t="s">
        <v>36</v>
      </c>
      <c r="B1" t="s">
        <v>38</v>
      </c>
      <c r="E1" s="40" t="s">
        <v>6</v>
      </c>
      <c r="F1" s="40"/>
      <c r="G1" s="40"/>
      <c r="H1" s="40"/>
      <c r="I1" s="4"/>
    </row>
    <row r="2" spans="1:10" x14ac:dyDescent="0.3">
      <c r="A2" s="1" t="s">
        <v>37</v>
      </c>
      <c r="B2" s="42" t="s">
        <v>39</v>
      </c>
      <c r="C2" s="42"/>
      <c r="E2" s="19" t="s">
        <v>4</v>
      </c>
      <c r="F2" s="8" t="s">
        <v>3</v>
      </c>
      <c r="G2" s="8" t="s">
        <v>2</v>
      </c>
      <c r="H2" s="8" t="s">
        <v>1</v>
      </c>
      <c r="I2" s="8" t="s">
        <v>0</v>
      </c>
    </row>
    <row r="3" spans="1:10" x14ac:dyDescent="0.3">
      <c r="D3" s="4" t="s">
        <v>19</v>
      </c>
      <c r="E3" s="4">
        <v>10.210000000000001</v>
      </c>
      <c r="F3" s="4">
        <v>0.41</v>
      </c>
      <c r="G3" s="4">
        <v>0.08</v>
      </c>
      <c r="H3" s="4">
        <v>5.1500000000000001E-3</v>
      </c>
      <c r="I3" s="4">
        <f>SUM(E3:H3)</f>
        <v>10.705150000000001</v>
      </c>
    </row>
    <row r="4" spans="1:10" x14ac:dyDescent="0.3">
      <c r="D4" s="4" t="s">
        <v>22</v>
      </c>
      <c r="E4" s="17">
        <f>E3*2.2/2204</f>
        <v>1.0191470054446462E-2</v>
      </c>
      <c r="F4" s="17">
        <f t="shared" ref="F4:H4" si="0">F3*2.2/2204</f>
        <v>4.0925589836660617E-4</v>
      </c>
      <c r="G4" s="17">
        <f t="shared" si="0"/>
        <v>7.9854809437386582E-5</v>
      </c>
      <c r="H4" s="17">
        <f t="shared" si="0"/>
        <v>5.1406533575317612E-6</v>
      </c>
      <c r="I4" s="4">
        <f>SUM(E4:H4)</f>
        <v>1.0685721415607986E-2</v>
      </c>
    </row>
    <row r="5" spans="1:10" x14ac:dyDescent="0.3">
      <c r="E5" s="29"/>
      <c r="F5" s="29"/>
      <c r="G5" s="29"/>
      <c r="H5" s="29"/>
      <c r="I5" s="30"/>
    </row>
    <row r="6" spans="1:10" x14ac:dyDescent="0.3">
      <c r="A6" s="41" t="s">
        <v>40</v>
      </c>
      <c r="B6" s="41"/>
      <c r="C6" s="41"/>
      <c r="D6" s="41"/>
      <c r="E6" s="41"/>
      <c r="F6" s="41"/>
      <c r="G6" s="41"/>
      <c r="H6" s="41"/>
      <c r="I6" s="41"/>
    </row>
    <row r="7" spans="1:10" x14ac:dyDescent="0.3">
      <c r="A7" s="31" t="s">
        <v>23</v>
      </c>
      <c r="B7" s="32" t="s">
        <v>24</v>
      </c>
      <c r="C7" s="1" t="s">
        <v>7</v>
      </c>
      <c r="D7" s="1" t="s">
        <v>8</v>
      </c>
      <c r="E7" s="33" t="s">
        <v>4</v>
      </c>
      <c r="F7" s="33" t="s">
        <v>3</v>
      </c>
      <c r="G7" s="33" t="s">
        <v>2</v>
      </c>
      <c r="H7" s="33" t="s">
        <v>1</v>
      </c>
      <c r="I7" s="33" t="s">
        <v>0</v>
      </c>
    </row>
    <row r="8" spans="1:10" x14ac:dyDescent="0.3">
      <c r="A8" s="20" t="s">
        <v>20</v>
      </c>
      <c r="B8" s="21">
        <v>11349560</v>
      </c>
      <c r="C8" s="22">
        <f>14.79</f>
        <v>14.79</v>
      </c>
      <c r="D8" s="23">
        <v>767605</v>
      </c>
      <c r="E8" s="18">
        <f>E4*$D$8</f>
        <v>7823.0233711433766</v>
      </c>
      <c r="F8" s="18">
        <f>F4*$D$8</f>
        <v>314.14687386569875</v>
      </c>
      <c r="G8" s="18">
        <f>G4*$D$8</f>
        <v>61.296950998185125</v>
      </c>
      <c r="H8" s="18">
        <f>H4*$D$8</f>
        <v>3.9459912205081675</v>
      </c>
      <c r="I8" s="18">
        <f>I4*$D$8</f>
        <v>8202.4131872277685</v>
      </c>
    </row>
    <row r="9" spans="1:10" x14ac:dyDescent="0.3">
      <c r="A9" s="4" t="s">
        <v>25</v>
      </c>
      <c r="B9" s="38" t="s">
        <v>26</v>
      </c>
      <c r="C9" s="38" t="s">
        <v>26</v>
      </c>
      <c r="D9" s="38" t="s">
        <v>26</v>
      </c>
      <c r="E9" s="5" t="s">
        <v>55</v>
      </c>
      <c r="F9" s="5" t="s">
        <v>56</v>
      </c>
      <c r="G9" s="5" t="s">
        <v>57</v>
      </c>
      <c r="H9" s="5" t="s">
        <v>58</v>
      </c>
      <c r="I9" s="5" t="s">
        <v>59</v>
      </c>
    </row>
    <row r="10" spans="1:10" x14ac:dyDescent="0.3">
      <c r="D10" s="2"/>
    </row>
    <row r="12" spans="1:10" x14ac:dyDescent="0.3">
      <c r="A12" s="39" t="s">
        <v>41</v>
      </c>
      <c r="B12" s="39"/>
      <c r="C12" s="39"/>
      <c r="D12" s="39"/>
      <c r="E12" s="39"/>
      <c r="F12" s="39"/>
      <c r="G12" s="40" t="s">
        <v>54</v>
      </c>
      <c r="H12" s="40"/>
      <c r="I12" s="40"/>
      <c r="J12" s="40"/>
    </row>
    <row r="13" spans="1:10" x14ac:dyDescent="0.3">
      <c r="A13" s="25"/>
      <c r="B13" s="26" t="s">
        <v>30</v>
      </c>
      <c r="C13" s="26" t="s">
        <v>21</v>
      </c>
      <c r="D13" s="26" t="s">
        <v>29</v>
      </c>
      <c r="E13" s="26" t="s">
        <v>31</v>
      </c>
      <c r="F13" s="14" t="s">
        <v>52</v>
      </c>
      <c r="G13" s="8" t="s">
        <v>4</v>
      </c>
      <c r="H13" s="8" t="s">
        <v>3</v>
      </c>
      <c r="I13" s="8" t="s">
        <v>2</v>
      </c>
      <c r="J13" s="8" t="s">
        <v>1</v>
      </c>
    </row>
    <row r="14" spans="1:10" x14ac:dyDescent="0.3">
      <c r="A14" s="13" t="s">
        <v>18</v>
      </c>
      <c r="B14" s="12">
        <f>B8-B16</f>
        <v>6745600</v>
      </c>
      <c r="C14" s="12">
        <f>I4*B14/C8</f>
        <v>4873.6715605899408</v>
      </c>
      <c r="D14" s="27">
        <v>6.1399999999999996E-4</v>
      </c>
      <c r="E14" s="12">
        <f>D14*B14</f>
        <v>4141.7983999999997</v>
      </c>
      <c r="F14" s="12">
        <f>C14-E14</f>
        <v>731.87316058994111</v>
      </c>
      <c r="G14" s="6">
        <f>$B$14/$C$8*E4*0.15</f>
        <v>697.2371237248891</v>
      </c>
      <c r="H14" s="6">
        <f>$B$14/$C$8*F4*0.15</f>
        <v>27.998748357218851</v>
      </c>
      <c r="I14" s="6">
        <f>$B$14/$C$8*G4*0.15</f>
        <v>5.4631704111646551</v>
      </c>
      <c r="J14" s="6">
        <f>$B$14/$C$8*H4*0.15</f>
        <v>0.35169159521872467</v>
      </c>
    </row>
    <row r="15" spans="1:10" x14ac:dyDescent="0.3">
      <c r="A15" s="34" t="s">
        <v>42</v>
      </c>
      <c r="B15" s="12" t="s">
        <v>60</v>
      </c>
      <c r="C15" s="12" t="s">
        <v>34</v>
      </c>
      <c r="D15" s="35" t="s">
        <v>28</v>
      </c>
      <c r="E15" s="12"/>
      <c r="F15" s="12" t="s">
        <v>35</v>
      </c>
      <c r="G15" s="12" t="s">
        <v>53</v>
      </c>
      <c r="H15" s="4"/>
      <c r="I15" s="4"/>
      <c r="J15" s="4"/>
    </row>
    <row r="16" spans="1:10" x14ac:dyDescent="0.3">
      <c r="A16" s="13" t="s">
        <v>10</v>
      </c>
      <c r="B16" s="12">
        <v>4603960</v>
      </c>
      <c r="C16" s="12">
        <f>I4*B16/C8</f>
        <v>3326.3444197838098</v>
      </c>
      <c r="D16" s="12">
        <v>0</v>
      </c>
      <c r="E16" s="12">
        <v>0</v>
      </c>
      <c r="F16" s="12">
        <f t="shared" ref="F16" si="1">C16-E16</f>
        <v>3326.3444197838098</v>
      </c>
      <c r="G16" s="6">
        <f>$B$16/$C$8*E4</f>
        <v>3172.4895518505296</v>
      </c>
      <c r="H16" s="6">
        <f>$B$16/$C$8*F4</f>
        <v>127.39674008410549</v>
      </c>
      <c r="I16" s="6">
        <f>$B$16/$C$8*G4</f>
        <v>24.85790050421571</v>
      </c>
      <c r="J16" s="6">
        <f>$B$16/$C$8*H4</f>
        <v>1.6002273449588862</v>
      </c>
    </row>
    <row r="17" spans="1:10" x14ac:dyDescent="0.3">
      <c r="A17" s="34" t="s">
        <v>42</v>
      </c>
      <c r="B17" s="36" t="s">
        <v>27</v>
      </c>
      <c r="C17" s="12" t="s">
        <v>33</v>
      </c>
      <c r="D17" s="24" t="s">
        <v>32</v>
      </c>
      <c r="E17" s="24" t="s">
        <v>32</v>
      </c>
      <c r="F17" s="12" t="s">
        <v>35</v>
      </c>
      <c r="G17" s="12" t="s">
        <v>53</v>
      </c>
      <c r="H17" s="4"/>
      <c r="I17" s="4"/>
      <c r="J17" s="4"/>
    </row>
    <row r="18" spans="1:10" ht="15" thickBot="1" x14ac:dyDescent="0.35">
      <c r="A18" s="15" t="s">
        <v>0</v>
      </c>
      <c r="B18" s="16">
        <f>SUM(B14:B16)</f>
        <v>11349560</v>
      </c>
      <c r="C18" s="16">
        <f t="shared" ref="C18" si="2">SUM(C14:C16)</f>
        <v>8200.0159803737515</v>
      </c>
      <c r="D18" s="28"/>
      <c r="E18" s="16">
        <f t="shared" ref="E18:F18" si="3">SUM(E14:E16)</f>
        <v>4141.7983999999997</v>
      </c>
      <c r="F18" s="16">
        <f t="shared" si="3"/>
        <v>4058.2175803737509</v>
      </c>
      <c r="G18" s="9">
        <f>SUM(G14:G17)</f>
        <v>3869.7266755754185</v>
      </c>
      <c r="H18" s="9">
        <f t="shared" ref="H18:J18" si="4">SUM(H14:H17)</f>
        <v>155.39548844132435</v>
      </c>
      <c r="I18" s="9">
        <f t="shared" si="4"/>
        <v>30.321070915380364</v>
      </c>
      <c r="J18" s="9">
        <f t="shared" si="4"/>
        <v>1.9519189401776109</v>
      </c>
    </row>
    <row r="21" spans="1:10" x14ac:dyDescent="0.3">
      <c r="A21" s="4"/>
      <c r="B21" s="5" t="s">
        <v>11</v>
      </c>
      <c r="C21" s="5" t="s">
        <v>12</v>
      </c>
      <c r="D21" s="5" t="s">
        <v>13</v>
      </c>
      <c r="E21" s="4"/>
      <c r="F21" s="4"/>
    </row>
    <row r="22" spans="1:10" x14ac:dyDescent="0.3">
      <c r="B22" s="8" t="s">
        <v>14</v>
      </c>
      <c r="C22" s="8" t="s">
        <v>15</v>
      </c>
      <c r="D22" s="8" t="s">
        <v>16</v>
      </c>
      <c r="E22" s="8" t="s">
        <v>5</v>
      </c>
      <c r="F22" s="9" t="s">
        <v>17</v>
      </c>
    </row>
    <row r="23" spans="1:10" x14ac:dyDescent="0.3">
      <c r="A23" s="8" t="s">
        <v>9</v>
      </c>
      <c r="B23" s="6">
        <f>F14*2</f>
        <v>1463.7463211798822</v>
      </c>
      <c r="C23" s="6">
        <f>F14*20</f>
        <v>14637.463211798822</v>
      </c>
      <c r="D23" s="6">
        <f>SUM(B23:C23)</f>
        <v>16101.209532978704</v>
      </c>
      <c r="E23" s="7">
        <v>79493405</v>
      </c>
      <c r="F23" s="7">
        <f>E23/D23</f>
        <v>4937.1076649353945</v>
      </c>
    </row>
    <row r="24" spans="1:10" x14ac:dyDescent="0.3">
      <c r="A24" s="34" t="s">
        <v>42</v>
      </c>
      <c r="B24" s="6" t="s">
        <v>51</v>
      </c>
      <c r="C24" s="6" t="s">
        <v>43</v>
      </c>
      <c r="D24" s="6" t="s">
        <v>44</v>
      </c>
      <c r="E24" s="37" t="s">
        <v>47</v>
      </c>
      <c r="F24" s="7" t="s">
        <v>48</v>
      </c>
    </row>
    <row r="25" spans="1:10" x14ac:dyDescent="0.3">
      <c r="A25" s="8" t="s">
        <v>10</v>
      </c>
      <c r="B25" s="6">
        <f>4*F16</f>
        <v>13305.377679135239</v>
      </c>
      <c r="C25" s="6">
        <f>20*F16</f>
        <v>66526.8883956762</v>
      </c>
      <c r="D25" s="6">
        <f>SUM(B25:C25)</f>
        <v>79832.266074811443</v>
      </c>
      <c r="E25" s="7">
        <f>95647307-E23</f>
        <v>16153902</v>
      </c>
      <c r="F25" s="7">
        <f>E25/D25</f>
        <v>202.34803287259879</v>
      </c>
    </row>
    <row r="26" spans="1:10" x14ac:dyDescent="0.3">
      <c r="A26" s="34" t="s">
        <v>42</v>
      </c>
      <c r="B26" s="6" t="s">
        <v>50</v>
      </c>
      <c r="C26" s="6" t="s">
        <v>43</v>
      </c>
      <c r="D26" s="6" t="s">
        <v>45</v>
      </c>
      <c r="E26" s="37" t="s">
        <v>46</v>
      </c>
      <c r="F26" s="7" t="s">
        <v>49</v>
      </c>
    </row>
    <row r="27" spans="1:10" x14ac:dyDescent="0.3">
      <c r="A27" s="8" t="s">
        <v>0</v>
      </c>
      <c r="B27" s="9">
        <f>SUM(B23:B25)</f>
        <v>14769.124000315122</v>
      </c>
      <c r="C27" s="9">
        <f t="shared" ref="C27:E27" si="5">SUM(C23:C25)</f>
        <v>81164.351607475022</v>
      </c>
      <c r="D27" s="9">
        <f t="shared" si="5"/>
        <v>95933.47560779014</v>
      </c>
      <c r="E27" s="10">
        <f t="shared" si="5"/>
        <v>95647307</v>
      </c>
      <c r="F27" s="11">
        <f>E27/D27</f>
        <v>997.01700990215238</v>
      </c>
    </row>
    <row r="28" spans="1:10" x14ac:dyDescent="0.3">
      <c r="B28" s="3"/>
    </row>
  </sheetData>
  <mergeCells count="5">
    <mergeCell ref="A12:F12"/>
    <mergeCell ref="E1:H1"/>
    <mergeCell ref="A6:I6"/>
    <mergeCell ref="G12:J12"/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CB717-F56C-4927-9FE5-B7D2B5B5B423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GHG Calculations</vt:lpstr>
      <vt:lpstr>Assumptions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Gavin Dixon</dc:creator>
  <cp:lastModifiedBy>Gavin Dixon</cp:lastModifiedBy>
  <dcterms:created xsi:type="dcterms:W3CDTF">2024-03-11T22:19:14Z</dcterms:created>
  <dcterms:modified xsi:type="dcterms:W3CDTF">2024-04-01T17:36:18Z</dcterms:modified>
</cp:coreProperties>
</file>