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3" documentId="8_{6497547B-E651-4018-AD3E-371EE679366D}" xr6:coauthVersionLast="47" xr6:coauthVersionMax="47" xr10:uidLastSave="{25C2C5F3-2202-4270-9DE8-F5CF8ADA7C5B}"/>
  <bookViews>
    <workbookView xWindow="2688" yWindow="1812" windowWidth="11292" windowHeight="12588" tabRatio="979" activeTab="1" xr2:uid="{AAC398A2-E95D-4231-A920-55B8B1C73F3F}"/>
  </bookViews>
  <sheets>
    <sheet name="Overview" sheetId="26" r:id="rId1"/>
    <sheet name="Consolidated Budget" sheetId="30" r:id="rId2"/>
    <sheet name="Combined Measures" sheetId="31" r:id="rId3"/>
    <sheet name="Measure 1- Intertie Budget" sheetId="16" r:id="rId4"/>
    <sheet name="Measure 2- Solar PV+BESS Budget" sheetId="27" r:id="rId5"/>
  </sheets>
  <definedNames>
    <definedName name="_xlnm._FilterDatabase" localSheetId="1" hidden="1">'Consolidated Budget'!#REF!</definedName>
    <definedName name="_xlnm._FilterDatabase" localSheetId="3" hidden="1">'Measure 1- Intertie Budget'!#REF!</definedName>
    <definedName name="_xlnm._FilterDatabase" localSheetId="4" hidden="1">'Measure 2- Solar PV+BESS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6" l="1"/>
  <c r="G7" i="16"/>
  <c r="G12" i="16" s="1"/>
  <c r="F7" i="16"/>
  <c r="F12" i="16" s="1"/>
  <c r="D7" i="16"/>
  <c r="D12" i="16" s="1"/>
  <c r="E7" i="16"/>
  <c r="E12" i="16" s="1"/>
  <c r="C7" i="16"/>
  <c r="C12" i="16" s="1"/>
  <c r="D6" i="27"/>
  <c r="D12" i="27" s="1"/>
  <c r="E6" i="27"/>
  <c r="E12" i="27" s="1"/>
  <c r="C6" i="27"/>
  <c r="C12" i="27" s="1"/>
  <c r="D7" i="27"/>
  <c r="D13" i="27" s="1"/>
  <c r="E7" i="27"/>
  <c r="E13" i="27" s="1"/>
  <c r="C7" i="27"/>
  <c r="C13" i="27" s="1"/>
  <c r="D5" i="27"/>
  <c r="D11" i="27" s="1"/>
  <c r="E5" i="27"/>
  <c r="E11" i="27" s="1"/>
  <c r="C5" i="27"/>
  <c r="C11" i="27" s="1"/>
  <c r="G8" i="16"/>
  <c r="G13" i="16" s="1"/>
  <c r="F8" i="16"/>
  <c r="F13" i="16" s="1"/>
  <c r="D8" i="16"/>
  <c r="D13" i="16" s="1"/>
  <c r="E8" i="16"/>
  <c r="E13" i="16" s="1"/>
  <c r="C8" i="16"/>
  <c r="C13" i="16" s="1"/>
  <c r="G6" i="16"/>
  <c r="G11" i="16" s="1"/>
  <c r="F6" i="16"/>
  <c r="F11" i="16" s="1"/>
  <c r="D6" i="16"/>
  <c r="D11" i="16" s="1"/>
  <c r="E6" i="16"/>
  <c r="E11" i="16" s="1"/>
  <c r="C6" i="16"/>
  <c r="C11" i="16" s="1"/>
  <c r="D11" i="31"/>
  <c r="E11" i="31"/>
  <c r="F11" i="31"/>
  <c r="G11" i="31"/>
  <c r="D12" i="31"/>
  <c r="E12" i="31"/>
  <c r="F12" i="31"/>
  <c r="G12" i="31"/>
  <c r="D13" i="31"/>
  <c r="E13" i="31"/>
  <c r="F13" i="31"/>
  <c r="G13" i="31"/>
  <c r="C12" i="31"/>
  <c r="C13" i="31"/>
  <c r="C11" i="31"/>
  <c r="C9" i="27" l="1"/>
  <c r="C9" i="16"/>
  <c r="D30" i="31"/>
  <c r="E30" i="31" s="1"/>
  <c r="D29" i="31"/>
  <c r="E29" i="31" s="1"/>
  <c r="C28" i="31"/>
  <c r="I26" i="31"/>
  <c r="E25" i="31"/>
  <c r="C25" i="31"/>
  <c r="C24" i="31"/>
  <c r="D24" i="31" s="1"/>
  <c r="G17" i="16"/>
  <c r="G17" i="31" s="1"/>
  <c r="F17" i="16"/>
  <c r="F17" i="31" s="1"/>
  <c r="E17" i="27"/>
  <c r="D17" i="27"/>
  <c r="D18" i="27" s="1"/>
  <c r="C17" i="27"/>
  <c r="C17" i="16"/>
  <c r="D17" i="16"/>
  <c r="D17" i="31" s="1"/>
  <c r="E17" i="16"/>
  <c r="G16" i="16"/>
  <c r="G16" i="31" s="1"/>
  <c r="F16" i="16"/>
  <c r="F16" i="31" s="1"/>
  <c r="F18" i="27"/>
  <c r="G18" i="27"/>
  <c r="H18" i="27"/>
  <c r="E17" i="31" l="1"/>
  <c r="C17" i="31"/>
  <c r="I17" i="31" s="1"/>
  <c r="I25" i="31"/>
  <c r="F27" i="31"/>
  <c r="C31" i="31"/>
  <c r="D31" i="31"/>
  <c r="I20" i="31"/>
  <c r="G18" i="31"/>
  <c r="I22" i="31"/>
  <c r="F18" i="31"/>
  <c r="E24" i="31"/>
  <c r="E31" i="31" s="1"/>
  <c r="C9" i="31"/>
  <c r="C14" i="31"/>
  <c r="G27" i="31"/>
  <c r="I27" i="31" s="1"/>
  <c r="I33" i="31"/>
  <c r="D9" i="31"/>
  <c r="D26" i="27"/>
  <c r="E26" i="27" s="1"/>
  <c r="D25" i="27"/>
  <c r="E16" i="27"/>
  <c r="C16" i="27"/>
  <c r="G13" i="27"/>
  <c r="F13" i="27"/>
  <c r="G12" i="27"/>
  <c r="F12" i="27"/>
  <c r="G11" i="27"/>
  <c r="G14" i="27" s="1"/>
  <c r="F11" i="27"/>
  <c r="F14" i="27" s="1"/>
  <c r="H7" i="27"/>
  <c r="H9" i="27" s="1"/>
  <c r="I8" i="27"/>
  <c r="F9" i="27"/>
  <c r="G9" i="27"/>
  <c r="H14" i="27"/>
  <c r="I17" i="27"/>
  <c r="I24" i="27"/>
  <c r="I26" i="16"/>
  <c r="E25" i="16"/>
  <c r="C25" i="16"/>
  <c r="C24" i="16"/>
  <c r="D24" i="16" s="1"/>
  <c r="E24" i="16" s="1"/>
  <c r="I17" i="16"/>
  <c r="G18" i="16"/>
  <c r="G6" i="30" s="1"/>
  <c r="F18" i="16"/>
  <c r="F6" i="30" s="1"/>
  <c r="E16" i="16"/>
  <c r="E18" i="16" s="1"/>
  <c r="D16" i="16"/>
  <c r="D16" i="31" s="1"/>
  <c r="D18" i="31" s="1"/>
  <c r="C16" i="16"/>
  <c r="C18" i="16" s="1"/>
  <c r="D18" i="16" l="1"/>
  <c r="D6" i="30" s="1"/>
  <c r="I20" i="16"/>
  <c r="I25" i="16"/>
  <c r="F27" i="16"/>
  <c r="G27" i="16" s="1"/>
  <c r="E16" i="31"/>
  <c r="E18" i="31" s="1"/>
  <c r="C28" i="16"/>
  <c r="C16" i="31"/>
  <c r="C18" i="31" s="1"/>
  <c r="C18" i="27"/>
  <c r="C6" i="30" s="1"/>
  <c r="E25" i="27"/>
  <c r="I25" i="27" s="1"/>
  <c r="I16" i="27"/>
  <c r="I18" i="27" s="1"/>
  <c r="C34" i="31"/>
  <c r="C37" i="31" s="1"/>
  <c r="E18" i="27"/>
  <c r="E6" i="30" s="1"/>
  <c r="I22" i="16"/>
  <c r="C34" i="16"/>
  <c r="F24" i="31"/>
  <c r="F31" i="31" s="1"/>
  <c r="E9" i="31"/>
  <c r="C14" i="27"/>
  <c r="I18" i="16"/>
  <c r="F24" i="16"/>
  <c r="E28" i="16"/>
  <c r="E34" i="16" s="1"/>
  <c r="I16" i="16"/>
  <c r="D28" i="16"/>
  <c r="I30" i="16"/>
  <c r="I18" i="31" l="1"/>
  <c r="I27" i="16"/>
  <c r="I16" i="31"/>
  <c r="D34" i="16"/>
  <c r="D9" i="27"/>
  <c r="D14" i="31"/>
  <c r="D34" i="31" s="1"/>
  <c r="F9" i="31"/>
  <c r="G24" i="31"/>
  <c r="G31" i="31" s="1"/>
  <c r="C38" i="31"/>
  <c r="E14" i="31"/>
  <c r="E34" i="31" s="1"/>
  <c r="E37" i="31" s="1"/>
  <c r="E38" i="31" s="1"/>
  <c r="E40" i="31" s="1"/>
  <c r="I7" i="31"/>
  <c r="I12" i="27"/>
  <c r="C4" i="30"/>
  <c r="E9" i="27"/>
  <c r="D14" i="27"/>
  <c r="I7" i="27"/>
  <c r="I6" i="27"/>
  <c r="G24" i="16"/>
  <c r="G28" i="16" s="1"/>
  <c r="F28" i="16"/>
  <c r="D9" i="16"/>
  <c r="C14" i="16"/>
  <c r="D4" i="30" l="1"/>
  <c r="I24" i="16"/>
  <c r="G34" i="16"/>
  <c r="F34" i="16"/>
  <c r="I31" i="31"/>
  <c r="F14" i="31"/>
  <c r="F34" i="31" s="1"/>
  <c r="F37" i="31" s="1"/>
  <c r="F38" i="31" s="1"/>
  <c r="F40" i="31" s="1"/>
  <c r="I8" i="31"/>
  <c r="C40" i="31"/>
  <c r="D37" i="31"/>
  <c r="I12" i="31"/>
  <c r="I24" i="31"/>
  <c r="I11" i="27"/>
  <c r="I5" i="27"/>
  <c r="I13" i="27"/>
  <c r="C31" i="16"/>
  <c r="C35" i="16" s="1"/>
  <c r="C5" i="30"/>
  <c r="I9" i="27"/>
  <c r="D14" i="16"/>
  <c r="E9" i="16"/>
  <c r="E4" i="30" s="1"/>
  <c r="I28" i="16"/>
  <c r="I14" i="27" l="1"/>
  <c r="E14" i="27"/>
  <c r="E14" i="16"/>
  <c r="E31" i="16" s="1"/>
  <c r="E35" i="16" s="1"/>
  <c r="D38" i="31"/>
  <c r="I13" i="31"/>
  <c r="D31" i="16"/>
  <c r="D35" i="16" s="1"/>
  <c r="D5" i="30"/>
  <c r="F9" i="16"/>
  <c r="F4" i="30" s="1"/>
  <c r="C36" i="16"/>
  <c r="E5" i="30" l="1"/>
  <c r="I6" i="31"/>
  <c r="I9" i="31" s="1"/>
  <c r="G9" i="31"/>
  <c r="D40" i="31"/>
  <c r="I6" i="16"/>
  <c r="D36" i="16"/>
  <c r="D38" i="16" s="1"/>
  <c r="I12" i="16"/>
  <c r="C38" i="16"/>
  <c r="I13" i="16"/>
  <c r="I8" i="16"/>
  <c r="I7" i="16"/>
  <c r="G9" i="16"/>
  <c r="G4" i="30" s="1"/>
  <c r="I4" i="30" s="1"/>
  <c r="F14" i="16"/>
  <c r="E36" i="16" l="1"/>
  <c r="E38" i="16" s="1"/>
  <c r="I11" i="31"/>
  <c r="I14" i="31" s="1"/>
  <c r="G14" i="31"/>
  <c r="G34" i="31" s="1"/>
  <c r="I9" i="16"/>
  <c r="F31" i="16"/>
  <c r="F35" i="16" s="1"/>
  <c r="F5" i="30"/>
  <c r="G14" i="16"/>
  <c r="I11" i="16"/>
  <c r="I14" i="16" s="1"/>
  <c r="G37" i="31" l="1"/>
  <c r="I34" i="31"/>
  <c r="G31" i="16"/>
  <c r="G35" i="16" s="1"/>
  <c r="G5" i="30"/>
  <c r="F36" i="16"/>
  <c r="I35" i="16" l="1"/>
  <c r="G38" i="31"/>
  <c r="I37" i="31"/>
  <c r="I34" i="16"/>
  <c r="I31" i="16"/>
  <c r="F38" i="16"/>
  <c r="G36" i="16" l="1"/>
  <c r="G40" i="31"/>
  <c r="I38" i="31"/>
  <c r="I40" i="31" s="1"/>
  <c r="G38" i="16" l="1"/>
  <c r="I36" i="16"/>
  <c r="I38" i="16" s="1"/>
  <c r="C20" i="30" s="1"/>
  <c r="I26" i="27"/>
  <c r="I27" i="27"/>
  <c r="H39" i="27"/>
  <c r="G37" i="27"/>
  <c r="G13" i="30" s="1"/>
  <c r="F37" i="27"/>
  <c r="F13" i="30" s="1"/>
  <c r="G29" i="27"/>
  <c r="G9" i="30" s="1"/>
  <c r="F29" i="27"/>
  <c r="F9" i="30" s="1"/>
  <c r="E29" i="27"/>
  <c r="D29" i="27"/>
  <c r="C29" i="27"/>
  <c r="I28" i="27"/>
  <c r="C9" i="30" l="1"/>
  <c r="C11" i="30" s="1"/>
  <c r="C35" i="27"/>
  <c r="D9" i="30"/>
  <c r="D35" i="27"/>
  <c r="E9" i="30"/>
  <c r="E35" i="27"/>
  <c r="I29" i="27"/>
  <c r="I7" i="30"/>
  <c r="G32" i="27"/>
  <c r="G39" i="27" s="1"/>
  <c r="F32" i="27"/>
  <c r="F39" i="27" s="1"/>
  <c r="C32" i="27"/>
  <c r="C36" i="27" s="1"/>
  <c r="D32" i="27"/>
  <c r="D36" i="27" s="1"/>
  <c r="E32" i="27"/>
  <c r="E36" i="27" s="1"/>
  <c r="I36" i="27" l="1"/>
  <c r="D37" i="27"/>
  <c r="D13" i="30" s="1"/>
  <c r="E37" i="27"/>
  <c r="E13" i="30" s="1"/>
  <c r="I8" i="30"/>
  <c r="D11" i="30"/>
  <c r="I9" i="30"/>
  <c r="E11" i="30"/>
  <c r="I6" i="30"/>
  <c r="I5" i="30"/>
  <c r="F11" i="30"/>
  <c r="F15" i="30" s="1"/>
  <c r="G11" i="30"/>
  <c r="G15" i="30" s="1"/>
  <c r="I10" i="30"/>
  <c r="I32" i="27"/>
  <c r="D15" i="30" l="1"/>
  <c r="E15" i="30"/>
  <c r="C37" i="27"/>
  <c r="C13" i="30" s="1"/>
  <c r="C15" i="30" s="1"/>
  <c r="I35" i="27"/>
  <c r="E39" i="27"/>
  <c r="D39" i="27"/>
  <c r="I11" i="30"/>
  <c r="I37" i="27" l="1"/>
  <c r="I39" i="27" s="1"/>
  <c r="C21" i="30" s="1"/>
  <c r="C26" i="30" s="1"/>
  <c r="C39" i="27"/>
  <c r="D21" i="30" l="1"/>
  <c r="D20" i="30"/>
  <c r="I13" i="30"/>
  <c r="I15" i="30" s="1"/>
  <c r="D26" i="3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16" authorId="0" shapeId="0" xr:uid="{6D6032F9-BF10-46BB-A334-26A1BB721DF4}">
      <text>
        <r>
          <rPr>
            <b/>
            <sz val="9"/>
            <color indexed="81"/>
            <rFont val="Tahoma"/>
            <family val="2"/>
          </rPr>
          <t>Please us the drop 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 shapeId="0" xr:uid="{CFC1720C-9966-4BDF-B17F-C269F28EDFCE}">
      <text>
        <r>
          <rPr>
            <b/>
            <sz val="9"/>
            <color indexed="81"/>
            <rFont val="Tahoma"/>
            <family val="2"/>
          </rPr>
          <t>Please us the drop 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16" authorId="0" shapeId="0" xr:uid="{B7409219-6E2D-488B-896B-A937E16BDD6C}">
      <text>
        <r>
          <rPr>
            <b/>
            <sz val="9"/>
            <color indexed="81"/>
            <rFont val="Tahoma"/>
            <family val="2"/>
          </rPr>
          <t>Please us the drop 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 shapeId="0" xr:uid="{E8C72F6E-A44A-477B-9AE4-BD8E82C1C5E8}">
      <text>
        <r>
          <rPr>
            <b/>
            <sz val="9"/>
            <color indexed="81"/>
            <rFont val="Tahoma"/>
            <family val="2"/>
          </rPr>
          <t>Please us the drop 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16" authorId="0" shapeId="0" xr:uid="{D753CDCB-0FD7-488C-9BA6-0178525C1AD8}">
      <text>
        <r>
          <rPr>
            <b/>
            <sz val="9"/>
            <color indexed="81"/>
            <rFont val="Tahoma"/>
            <family val="2"/>
          </rPr>
          <t>Please us the drop 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 shapeId="0" xr:uid="{CC3D6D49-BC3F-44F9-8115-A17ACE61DDAB}">
      <text>
        <r>
          <rPr>
            <b/>
            <sz val="9"/>
            <color indexed="81"/>
            <rFont val="Tahoma"/>
            <family val="2"/>
          </rPr>
          <t>Please us the drop 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<sst xmlns="http://schemas.openxmlformats.org/spreadsheetml/2006/main" count="203" uniqueCount="54">
  <si>
    <t>Consolidated Budget Table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</si>
  <si>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</si>
  <si>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</si>
  <si>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</si>
  <si>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</si>
  <si>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</si>
  <si>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</si>
  <si>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</si>
  <si>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</si>
  <si>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</si>
  <si>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</si>
  <si>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</si>
  <si>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</si>
  <si>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</si>
  <si>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</si>
  <si>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</si>
  <si>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</si>
  <si>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</si>
  <si>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</si>
  <si>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</si>
  <si>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</si>
  <si>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</si>
  <si>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</si>
  <si>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</si>
  <si>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</si>
  <si>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</si>
  <si>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</si>
  <si>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</si>
  <si>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</si>
  <si>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</si>
  <si>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</si>
  <si>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</si>
  <si>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</si>
  <si>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</si>
  <si>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</si>
  <si>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</si>
  <si>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</si>
  <si>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</si>
  <si>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</si>
  <si>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</si>
  <si>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>Rural Energy Specialist</t>
  </si>
  <si>
    <t>Grants and Office Manager</t>
  </si>
  <si>
    <t>Project Manager</t>
  </si>
  <si>
    <t>Travel  Per Diem</t>
  </si>
  <si>
    <t>Travel  Transportation</t>
  </si>
  <si>
    <t>Owner's Representative</t>
  </si>
  <si>
    <t>Engineering Design and Permitting</t>
  </si>
  <si>
    <t>Construction Administration</t>
  </si>
  <si>
    <t>Construction</t>
  </si>
  <si>
    <t>Construction Admin</t>
  </si>
  <si>
    <t>Intertie</t>
  </si>
  <si>
    <t>Solar PV + BESS</t>
  </si>
  <si>
    <t>33.1% on Direct Costs less subcontracts</t>
  </si>
  <si>
    <t>5% on subcontracts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</si>
</sst>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00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6" fontId="8" fillId="0" borderId="1" xfId="0" applyNumberFormat="1" applyFont="1" applyBorder="1" applyAlignment="1">
      <alignment wrapText="1"/>
    </xf>
    <xf numFmtId="0" fontId="2" fillId="0" borderId="1" xfId="0" applyFont="1" applyBorder="1"/>
    <xf numFmtId="0" fontId="9" fillId="0" borderId="11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1" xfId="0" applyFont="1" applyBorder="1" applyAlignment="1">
      <alignment horizontal="left" wrapText="1" indent="2"/>
    </xf>
    <xf numFmtId="0" fontId="12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0" fontId="11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6" fontId="13" fillId="0" borderId="1" xfId="0" applyNumberFormat="1" applyFont="1" applyBorder="1" applyAlignment="1">
      <alignment wrapText="1"/>
    </xf>
    <xf numFmtId="0" fontId="11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20" xfId="0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vertical="top" wrapText="1"/>
    </xf>
    <xf numFmtId="0" fontId="15" fillId="0" borderId="1" xfId="0" applyFont="1" applyBorder="1" applyAlignment="1">
      <alignment vertical="top"/>
    </xf>
    <xf numFmtId="0" fontId="16" fillId="0" borderId="1" xfId="0" applyFont="1" applyBorder="1" applyAlignment="1">
      <alignment wrapText="1"/>
    </xf>
    <xf numFmtId="0" fontId="16" fillId="0" borderId="0" xfId="0" applyFont="1"/>
    <xf numFmtId="0" fontId="16" fillId="0" borderId="1" xfId="0" applyFont="1" applyBorder="1"/>
    <xf numFmtId="0" fontId="16" fillId="0" borderId="0" xfId="3" applyFont="1"/>
    <xf numFmtId="6" fontId="16" fillId="0" borderId="1" xfId="0" applyNumberFormat="1" applyFont="1" applyBorder="1" applyAlignment="1">
      <alignment wrapText="1"/>
    </xf>
    <xf numFmtId="6" fontId="16" fillId="0" borderId="0" xfId="0" applyNumberFormat="1" applyFont="1"/>
    <xf numFmtId="0" fontId="16" fillId="4" borderId="1" xfId="0" applyFont="1" applyFill="1" applyBorder="1" applyAlignment="1">
      <alignment wrapText="1"/>
    </xf>
    <xf numFmtId="6" fontId="16" fillId="4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7" fillId="0" borderId="22" xfId="0" applyFont="1" applyBorder="1" applyProtection="1">
      <protection locked="0"/>
    </xf>
    <xf numFmtId="164" fontId="16" fillId="0" borderId="1" xfId="1" applyNumberFormat="1" applyFont="1" applyBorder="1" applyAlignment="1">
      <alignment wrapText="1"/>
    </xf>
    <xf numFmtId="164" fontId="16" fillId="4" borderId="1" xfId="0" applyNumberFormat="1" applyFont="1" applyFill="1" applyBorder="1" applyAlignment="1">
      <alignment wrapText="1"/>
    </xf>
    <xf numFmtId="6" fontId="14" fillId="4" borderId="4" xfId="0" applyNumberFormat="1" applyFont="1" applyFill="1" applyBorder="1" applyAlignment="1">
      <alignment wrapText="1"/>
    </xf>
    <xf numFmtId="0" fontId="16" fillId="0" borderId="1" xfId="0" applyFont="1" applyBorder="1" applyAlignment="1">
      <alignment horizontal="left" wrapText="1" indent="2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 indent="2"/>
    </xf>
    <xf numFmtId="6" fontId="14" fillId="0" borderId="1" xfId="0" applyNumberFormat="1" applyFont="1" applyBorder="1" applyAlignment="1">
      <alignment wrapText="1"/>
    </xf>
    <xf numFmtId="6" fontId="15" fillId="0" borderId="12" xfId="0" applyNumberFormat="1" applyFont="1" applyBorder="1" applyAlignment="1">
      <alignment wrapText="1"/>
    </xf>
    <xf numFmtId="164" fontId="16" fillId="0" borderId="1" xfId="0" applyNumberFormat="1" applyFont="1" applyBorder="1" applyAlignment="1">
      <alignment wrapText="1"/>
    </xf>
    <xf numFmtId="164" fontId="14" fillId="4" borderId="1" xfId="0" applyNumberFormat="1" applyFont="1" applyFill="1" applyBorder="1" applyAlignment="1">
      <alignment wrapText="1"/>
    </xf>
    <xf numFmtId="6" fontId="14" fillId="4" borderId="1" xfId="0" applyNumberFormat="1" applyFont="1" applyFill="1" applyBorder="1" applyAlignment="1">
      <alignment wrapText="1"/>
    </xf>
    <xf numFmtId="0" fontId="15" fillId="0" borderId="1" xfId="0" applyFont="1" applyBorder="1"/>
    <xf numFmtId="0" fontId="15" fillId="0" borderId="11" xfId="0" applyFont="1" applyBorder="1" applyAlignment="1">
      <alignment wrapText="1"/>
    </xf>
    <xf numFmtId="6" fontId="20" fillId="0" borderId="12" xfId="0" applyNumberFormat="1" applyFont="1" applyBorder="1" applyAlignment="1">
      <alignment wrapText="1"/>
    </xf>
    <xf numFmtId="0" fontId="21" fillId="2" borderId="8" xfId="0" applyFont="1" applyFill="1" applyBorder="1"/>
    <xf numFmtId="0" fontId="15" fillId="2" borderId="7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5" fillId="3" borderId="13" xfId="0" applyFont="1" applyFill="1" applyBorder="1" applyAlignment="1">
      <alignment wrapText="1"/>
    </xf>
    <xf numFmtId="0" fontId="15" fillId="3" borderId="14" xfId="0" applyFont="1" applyFill="1" applyBorder="1" applyAlignment="1">
      <alignment wrapText="1"/>
    </xf>
    <xf numFmtId="0" fontId="15" fillId="3" borderId="15" xfId="0" applyFont="1" applyFill="1" applyBorder="1" applyAlignment="1">
      <alignment wrapText="1"/>
    </xf>
    <xf numFmtId="0" fontId="15" fillId="3" borderId="7" xfId="0" applyFont="1" applyFill="1" applyBorder="1" applyAlignment="1">
      <alignment wrapText="1"/>
    </xf>
    <xf numFmtId="0" fontId="15" fillId="3" borderId="1" xfId="0" applyFont="1" applyFill="1" applyBorder="1"/>
    <xf numFmtId="0" fontId="15" fillId="0" borderId="2" xfId="0" applyFont="1" applyBorder="1" applyAlignment="1">
      <alignment vertical="top"/>
    </xf>
    <xf numFmtId="0" fontId="16" fillId="7" borderId="1" xfId="0" applyFont="1" applyFill="1" applyBorder="1" applyAlignment="1">
      <alignment wrapText="1"/>
    </xf>
    <xf numFmtId="6" fontId="14" fillId="7" borderId="1" xfId="0" applyNumberFormat="1" applyFont="1" applyFill="1" applyBorder="1" applyAlignment="1">
      <alignment wrapText="1"/>
    </xf>
    <xf numFmtId="0" fontId="16" fillId="8" borderId="0" xfId="0" applyFont="1" applyFill="1"/>
    <xf numFmtId="0" fontId="16" fillId="0" borderId="5" xfId="0" applyFont="1" applyBorder="1" applyAlignment="1">
      <alignment vertical="top"/>
    </xf>
    <xf numFmtId="0" fontId="16" fillId="0" borderId="3" xfId="0" applyFont="1" applyBorder="1" applyAlignment="1">
      <alignment vertical="top"/>
    </xf>
    <xf numFmtId="0" fontId="16" fillId="0" borderId="1" xfId="0" applyFont="1" applyBorder="1" applyAlignment="1">
      <alignment vertical="top"/>
    </xf>
    <xf numFmtId="0" fontId="15" fillId="0" borderId="21" xfId="0" applyFont="1" applyBorder="1" applyAlignment="1">
      <alignment wrapText="1"/>
    </xf>
    <xf numFmtId="6" fontId="15" fillId="0" borderId="19" xfId="0" applyNumberFormat="1" applyFont="1" applyBorder="1" applyAlignment="1">
      <alignment wrapText="1"/>
    </xf>
    <xf numFmtId="0" fontId="15" fillId="0" borderId="0" xfId="0" applyFont="1"/>
    <xf numFmtId="6" fontId="15" fillId="0" borderId="1" xfId="0" applyNumberFormat="1" applyFont="1" applyBorder="1" applyAlignment="1">
      <alignment wrapText="1"/>
    </xf>
    <xf numFmtId="0" fontId="15" fillId="6" borderId="13" xfId="0" applyFont="1" applyFill="1" applyBorder="1" applyAlignment="1">
      <alignment wrapText="1"/>
    </xf>
    <xf numFmtId="0" fontId="15" fillId="6" borderId="14" xfId="0" applyFont="1" applyFill="1" applyBorder="1" applyAlignment="1">
      <alignment wrapText="1"/>
    </xf>
    <xf numFmtId="0" fontId="15" fillId="6" borderId="15" xfId="0" applyFont="1" applyFill="1" applyBorder="1" applyAlignment="1">
      <alignment wrapText="1"/>
    </xf>
    <xf numFmtId="0" fontId="15" fillId="6" borderId="7" xfId="0" applyFont="1" applyFill="1" applyBorder="1" applyAlignment="1">
      <alignment wrapText="1"/>
    </xf>
    <xf numFmtId="0" fontId="15" fillId="6" borderId="3" xfId="0" applyFont="1" applyFill="1" applyBorder="1"/>
    <xf numFmtId="0" fontId="14" fillId="0" borderId="0" xfId="0" applyFont="1" applyAlignment="1">
      <alignment wrapText="1"/>
    </xf>
    <xf numFmtId="0" fontId="16" fillId="0" borderId="0" xfId="0" applyFont="1" applyAlignment="1">
      <alignment vertical="top"/>
    </xf>
    <xf numFmtId="164" fontId="16" fillId="4" borderId="1" xfId="1" applyNumberFormat="1" applyFont="1" applyFill="1" applyBorder="1" applyAlignment="1">
      <alignment wrapText="1"/>
    </xf>
    <xf numFmtId="6" fontId="14" fillId="7" borderId="1" xfId="0" applyNumberFormat="1" applyFont="1" applyFill="1" applyBorder="1" applyAlignment="1">
      <alignment horizontal="left" vertical="top" wrapText="1"/>
    </xf>
    <xf numFmtId="6" fontId="14" fillId="7" borderId="8" xfId="0" applyNumberFormat="1" applyFont="1" applyFill="1" applyBorder="1" applyAlignment="1">
      <alignment wrapText="1"/>
    </xf>
    <xf numFmtId="0" fontId="16" fillId="0" borderId="1" xfId="3" applyFont="1" applyBorder="1"/>
    <xf numFmtId="0" fontId="22" fillId="0" borderId="22" xfId="0" applyFont="1" applyBorder="1" applyProtection="1">
      <protection locked="0"/>
    </xf>
    <xf numFmtId="9" fontId="14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4">
    <cellStyle name="Currency" xfId="1" builtinId="4"/>
    <cellStyle name="Normal" xfId="0" builtinId="0"/>
    <cellStyle name="Normal 5" xfId="3" xr:uid="{0D3780A2-2F30-49DD-BB0B-7C494096571E}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77734375" customWidth="1"/>
    <col min="5" max="5" width="13.44140625" bestFit="1" customWidth="1"/>
    <col min="6" max="6" width="14.44140625" bestFit="1" customWidth="1"/>
    <col min="7" max="9" width="14.44140625" customWidth="1"/>
    <col min="10" max="10" width="10.777343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23"/>
      <c r="K2" s="3"/>
    </row>
    <row r="3" spans="4:11" x14ac:dyDescent="0.3">
      <c r="D3" s="3"/>
      <c r="E3" s="3"/>
      <c r="J3" s="21"/>
      <c r="K3" s="22"/>
    </row>
    <row r="4" spans="4:11" x14ac:dyDescent="0.3">
      <c r="D4" s="4"/>
      <c r="E4" s="3"/>
    </row>
    <row r="9" spans="4:11" x14ac:dyDescent="0.3">
      <c r="J9" s="15"/>
    </row>
    <row r="17" spans="5:18" x14ac:dyDescent="0.3">
      <c r="E17" s="24"/>
      <c r="F17" s="24"/>
      <c r="G17" s="24"/>
      <c r="H17" s="24"/>
      <c r="I17" s="24"/>
    </row>
    <row r="18" spans="5:18" x14ac:dyDescent="0.3">
      <c r="E18" s="24"/>
      <c r="F18" s="24"/>
      <c r="G18" s="24"/>
      <c r="H18" s="24"/>
      <c r="I18" s="24"/>
    </row>
    <row r="27" spans="5:18" ht="23.4" x14ac:dyDescent="0.45">
      <c r="Q27" s="20"/>
    </row>
    <row r="28" spans="5:18" x14ac:dyDescent="0.3">
      <c r="Q28" s="38"/>
      <c r="R28" s="3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A1:AL27"/>
  <sheetViews>
    <sheetView showGridLines="0" tabSelected="1" topLeftCell="A6" zoomScale="83" zoomScaleNormal="85" workbookViewId="0">
      <selection activeCell="J15" sqref="J15"/>
    </sheetView>
  </sheetViews>
  <sheetFormatPr defaultColWidth="9.21875" defaultRowHeight="15" customHeight="1" x14ac:dyDescent="0.3"/>
  <cols>
    <col min="1" max="1" width="12.21875" customWidth="1"/>
    <col min="2" max="2" width="29.21875" customWidth="1"/>
    <col min="3" max="3" width="12.77734375" style="6" bestFit="1" customWidth="1"/>
    <col min="4" max="4" width="11.77734375" style="2" customWidth="1"/>
    <col min="5" max="5" width="12.21875" customWidth="1"/>
    <col min="6" max="6" width="11.44140625" customWidth="1"/>
    <col min="7" max="7" width="12" style="2" customWidth="1"/>
    <col min="8" max="8" width="3.5546875" style="7" customWidth="1"/>
    <col min="9" max="9" width="13.44140625" bestFit="1" customWidth="1"/>
    <col min="10" max="10" width="10.21875" customWidth="1"/>
  </cols>
  <sheetData>
    <row r="1" spans="1:38" ht="23.4" x14ac:dyDescent="0.45">
      <c r="A1" s="20" t="s">
        <v>0</v>
      </c>
    </row>
    <row r="2" spans="1:38" ht="18" x14ac:dyDescent="0.35">
      <c r="A2" s="66" t="s">
        <v>1</v>
      </c>
      <c r="B2" s="67"/>
      <c r="C2" s="67"/>
      <c r="D2" s="67"/>
      <c r="E2" s="67"/>
      <c r="F2" s="67"/>
      <c r="G2" s="67"/>
      <c r="H2" s="67"/>
      <c r="I2" s="68"/>
    </row>
    <row r="3" spans="1:38" ht="17.100000000000001" customHeight="1" x14ac:dyDescent="0.3">
      <c r="A3" s="69" t="s">
        <v>2</v>
      </c>
      <c r="B3" s="69" t="s">
        <v>3</v>
      </c>
      <c r="C3" s="69" t="s">
        <v>4</v>
      </c>
      <c r="D3" s="70" t="s">
        <v>5</v>
      </c>
      <c r="E3" s="70" t="s">
        <v>6</v>
      </c>
      <c r="F3" s="70" t="s">
        <v>7</v>
      </c>
      <c r="G3" s="71" t="s">
        <v>8</v>
      </c>
      <c r="H3" s="72"/>
      <c r="I3" s="73" t="s">
        <v>9</v>
      </c>
    </row>
    <row r="4" spans="1:38" s="5" customFormat="1" ht="14.4" x14ac:dyDescent="0.3">
      <c r="A4" s="74" t="s">
        <v>10</v>
      </c>
      <c r="B4" s="75" t="s">
        <v>11</v>
      </c>
      <c r="C4" s="76">
        <f>'Measure 1- Intertie Budget'!C9+'Measure 2- Solar PV+BESS Budget'!C9</f>
        <v>115494.40979975002</v>
      </c>
      <c r="D4" s="76">
        <f>'Measure 1- Intertie Budget'!D9+'Measure 2- Solar PV+BESS Budget'!D9</f>
        <v>119825.45016724063</v>
      </c>
      <c r="E4" s="76">
        <f>'Measure 1- Intertie Budget'!E9+'Measure 2- Solar PV+BESS Budget'!E9</f>
        <v>124318.90454851216</v>
      </c>
      <c r="F4" s="76">
        <f>'Measure 1- Intertie Budget'!F9+'Measure 2- Solar PV+BESS Budget'!F9</f>
        <v>52231.960709960957</v>
      </c>
      <c r="G4" s="76">
        <f>'Measure 1- Intertie Budget'!G9+'Measure 2- Solar PV+BESS Budget'!G9</f>
        <v>54190.659236584492</v>
      </c>
      <c r="H4" s="77"/>
      <c r="I4" s="76">
        <f>SUM(C4:H4)</f>
        <v>466061.3844620483</v>
      </c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</row>
    <row r="5" spans="1:38" ht="14.4" x14ac:dyDescent="0.3">
      <c r="A5" s="78"/>
      <c r="B5" s="75" t="s">
        <v>12</v>
      </c>
      <c r="C5" s="76">
        <f>'Measure 1- Intertie Budget'!C14+'Measure 2- Solar PV+BESS Budget'!C14</f>
        <v>64833.058583941514</v>
      </c>
      <c r="D5" s="76">
        <f>'Measure 1- Intertie Budget'!D14+'Measure 2- Solar PV+BESS Budget'!D14</f>
        <v>67264.298280839314</v>
      </c>
      <c r="E5" s="76">
        <f>'Measure 1- Intertie Budget'!E14+'Measure 2- Solar PV+BESS Budget'!E14</f>
        <v>69786.709466370798</v>
      </c>
      <c r="F5" s="76">
        <f>'Measure 1- Intertie Budget'!F14+'Measure 2- Solar PV+BESS Budget'!F14</f>
        <v>29320.533994108169</v>
      </c>
      <c r="G5" s="76">
        <f>'Measure 1- Intertie Budget'!G14+'Measure 2- Solar PV+BESS Budget'!G14</f>
        <v>30420.054018887229</v>
      </c>
      <c r="H5" s="77"/>
      <c r="I5" s="76">
        <f t="shared" ref="I5:I11" si="0">SUM(C5:H5)</f>
        <v>261624.65434414704</v>
      </c>
    </row>
    <row r="6" spans="1:38" ht="14.4" x14ac:dyDescent="0.3">
      <c r="A6" s="78"/>
      <c r="B6" s="75" t="s">
        <v>13</v>
      </c>
      <c r="C6" s="76">
        <f>'Measure 1- Intertie Budget'!C18+'Measure 2- Solar PV+BESS Budget'!C18</f>
        <v>5079.7800000000007</v>
      </c>
      <c r="D6" s="76">
        <f>'Measure 1- Intertie Budget'!D18+'Measure 2- Solar PV+BESS Budget'!D18</f>
        <v>3709.2</v>
      </c>
      <c r="E6" s="76">
        <f>'Measure 1- Intertie Budget'!E18+'Measure 2- Solar PV+BESS Budget'!E18</f>
        <v>3709.2</v>
      </c>
      <c r="F6" s="76">
        <f>'Measure 1- Intertie Budget'!F18+'Measure 2- Solar PV+BESS Budget'!F18</f>
        <v>2773.9</v>
      </c>
      <c r="G6" s="76">
        <f>'Measure 1- Intertie Budget'!G18+'Measure 2- Solar PV+BESS Budget'!G18</f>
        <v>2773.9</v>
      </c>
      <c r="H6" s="77"/>
      <c r="I6" s="76">
        <f t="shared" si="0"/>
        <v>18045.98</v>
      </c>
    </row>
    <row r="7" spans="1:38" ht="14.4" x14ac:dyDescent="0.3">
      <c r="A7" s="78"/>
      <c r="B7" s="75" t="s">
        <v>14</v>
      </c>
      <c r="C7" s="76"/>
      <c r="D7" s="76">
        <v>0</v>
      </c>
      <c r="E7" s="76">
        <v>0</v>
      </c>
      <c r="F7" s="76">
        <v>0</v>
      </c>
      <c r="G7" s="76">
        <v>0</v>
      </c>
      <c r="H7" s="77"/>
      <c r="I7" s="76">
        <f t="shared" si="0"/>
        <v>0</v>
      </c>
    </row>
    <row r="8" spans="1:38" ht="14.4" x14ac:dyDescent="0.3">
      <c r="A8" s="78"/>
      <c r="B8" s="75" t="s">
        <v>15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77"/>
      <c r="I8" s="76">
        <f t="shared" si="0"/>
        <v>0</v>
      </c>
    </row>
    <row r="9" spans="1:38" ht="14.4" x14ac:dyDescent="0.3">
      <c r="A9" s="78"/>
      <c r="B9" s="75" t="s">
        <v>16</v>
      </c>
      <c r="C9" s="76">
        <f>'Measure 1- Intertie Budget'!C28+'Measure 2- Solar PV+BESS Budget'!C29</f>
        <v>2186320.7999999998</v>
      </c>
      <c r="D9" s="76">
        <f>'Measure 1- Intertie Budget'!D28+'Measure 2- Solar PV+BESS Budget'!D29</f>
        <v>9837892.8000000007</v>
      </c>
      <c r="E9" s="76">
        <f>'Measure 1- Intertie Budget'!E28+'Measure 2- Solar PV+BESS Budget'!E29</f>
        <v>9937911.8000000007</v>
      </c>
      <c r="F9" s="76">
        <f>'Measure 1- Intertie Budget'!F28+'Measure 2- Solar PV+BESS Budget'!F29</f>
        <v>34092621.18</v>
      </c>
      <c r="G9" s="76">
        <f>'Measure 1- Intertie Budget'!G28+'Measure 2- Solar PV+BESS Budget'!G29</f>
        <v>34092621.18</v>
      </c>
      <c r="H9" s="77"/>
      <c r="I9" s="76">
        <f t="shared" si="0"/>
        <v>90147367.75999999</v>
      </c>
    </row>
    <row r="10" spans="1:38" ht="14.4" x14ac:dyDescent="0.3">
      <c r="A10" s="78"/>
      <c r="B10" s="75" t="s">
        <v>17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7"/>
      <c r="I10" s="76">
        <f t="shared" si="0"/>
        <v>0</v>
      </c>
    </row>
    <row r="11" spans="1:38" ht="14.4" x14ac:dyDescent="0.3">
      <c r="A11" s="79"/>
      <c r="B11" s="48" t="s">
        <v>18</v>
      </c>
      <c r="C11" s="62">
        <f>C10+C9+C8+C7+C6+C5+C4</f>
        <v>2371728.0483836909</v>
      </c>
      <c r="D11" s="62">
        <f>D10+D9+D8+D7+D6+D5+D4</f>
        <v>10028691.748448079</v>
      </c>
      <c r="E11" s="62">
        <f>E10+E9+E8+E7+E6+E5+E4</f>
        <v>10135726.614014884</v>
      </c>
      <c r="F11" s="62">
        <f>F10+F9+F8+F7+F6+F5+F4</f>
        <v>34176947.574704066</v>
      </c>
      <c r="G11" s="62">
        <f>G10+G9+G8+G7+G6+G5+G4</f>
        <v>34180005.793255471</v>
      </c>
      <c r="H11" s="43"/>
      <c r="I11" s="62">
        <f t="shared" si="0"/>
        <v>90893099.77880618</v>
      </c>
    </row>
    <row r="12" spans="1:38" ht="14.4" x14ac:dyDescent="0.3">
      <c r="A12" s="80"/>
      <c r="B12" s="43"/>
      <c r="C12" s="43"/>
      <c r="D12" s="43"/>
      <c r="E12" s="43"/>
      <c r="F12" s="43"/>
      <c r="G12" s="43"/>
      <c r="H12" s="43"/>
      <c r="I12" s="44" t="s">
        <v>19</v>
      </c>
    </row>
    <row r="13" spans="1:38" ht="20.100000000000001" customHeight="1" x14ac:dyDescent="0.3">
      <c r="A13" s="80"/>
      <c r="B13" s="48" t="s">
        <v>20</v>
      </c>
      <c r="C13" s="49">
        <f>'Measure 1- Intertie Budget'!C36+'Measure 2- Solar PV+BESS Budget'!C37</f>
        <v>170685.83921500199</v>
      </c>
      <c r="D13" s="49">
        <f>'Measure 1- Intertie Budget'!D36+'Measure 2- Solar PV+BESS Budget'!D37</f>
        <v>555049.09193631448</v>
      </c>
      <c r="E13" s="49">
        <f>'Measure 1- Intertie Budget'!E36+'Measure 2- Solar PV+BESS Budget'!E37</f>
        <v>562372.29343892622</v>
      </c>
      <c r="F13" s="49">
        <f>'Measure 1- Intertie Budget'!F36+'Measure 2- Solar PV+BESS Budget'!F37</f>
        <v>1732543.0956470461</v>
      </c>
      <c r="G13" s="49">
        <f>'Measure 1- Intertie Budget'!G36+'Measure 2- Solar PV+BESS Budget'!G37</f>
        <v>1733555.3659875609</v>
      </c>
      <c r="H13" s="43"/>
      <c r="I13" s="92">
        <f>SUM(C13:G13)</f>
        <v>4754205.6862248499</v>
      </c>
    </row>
    <row r="14" spans="1:38" thickBot="1" x14ac:dyDescent="0.35">
      <c r="A14" s="80"/>
      <c r="B14" s="43"/>
      <c r="C14" s="43"/>
      <c r="D14" s="43"/>
      <c r="E14" s="43"/>
      <c r="F14" s="43"/>
      <c r="G14" s="43"/>
      <c r="H14" s="43"/>
      <c r="I14" s="44" t="s">
        <v>19</v>
      </c>
    </row>
    <row r="15" spans="1:38" ht="31.05" customHeight="1" thickBot="1" x14ac:dyDescent="0.35">
      <c r="A15" s="81" t="s">
        <v>21</v>
      </c>
      <c r="B15" s="64"/>
      <c r="C15" s="82">
        <f>C11+C13</f>
        <v>2542413.8875986929</v>
      </c>
      <c r="D15" s="82">
        <f>D11+D13</f>
        <v>10583740.840384394</v>
      </c>
      <c r="E15" s="82">
        <f>E11+E13</f>
        <v>10698098.907453811</v>
      </c>
      <c r="F15" s="82">
        <f>F11+F13</f>
        <v>35909490.67035111</v>
      </c>
      <c r="G15" s="82">
        <f>G11+G13</f>
        <v>35913561.159243032</v>
      </c>
      <c r="H15" s="83"/>
      <c r="I15" s="84">
        <f>I11+I13</f>
        <v>95647305.465031028</v>
      </c>
    </row>
    <row r="16" spans="1:38" s="1" customFormat="1" ht="14.4" x14ac:dyDescent="0.3">
      <c r="A16" s="6"/>
      <c r="B16"/>
      <c r="C16" s="6"/>
      <c r="D16" s="2"/>
      <c r="E16"/>
      <c r="F16"/>
      <c r="G16" s="2"/>
      <c r="H16" s="7"/>
      <c r="I16"/>
    </row>
    <row r="17" spans="1:8" ht="15" customHeight="1" x14ac:dyDescent="0.3">
      <c r="A17" s="6"/>
    </row>
    <row r="18" spans="1:8" ht="15" customHeight="1" x14ac:dyDescent="0.35">
      <c r="A18" s="34" t="s">
        <v>22</v>
      </c>
      <c r="B18" s="35"/>
      <c r="C18" s="35"/>
      <c r="D18" s="98"/>
      <c r="E18" s="98"/>
      <c r="G18"/>
      <c r="H18"/>
    </row>
    <row r="19" spans="1:8" ht="29.1" customHeight="1" x14ac:dyDescent="0.3">
      <c r="A19" s="36" t="s">
        <v>23</v>
      </c>
      <c r="B19" s="36" t="s">
        <v>24</v>
      </c>
      <c r="C19" s="37" t="s">
        <v>25</v>
      </c>
      <c r="D19" s="99" t="s">
        <v>26</v>
      </c>
      <c r="E19" s="99"/>
      <c r="G19"/>
      <c r="H19"/>
    </row>
    <row r="20" spans="1:8" ht="15" customHeight="1" x14ac:dyDescent="0.3">
      <c r="A20" s="75">
        <v>1</v>
      </c>
      <c r="B20" s="93" t="s">
        <v>50</v>
      </c>
      <c r="C20" s="94">
        <f>'Measure 1- Intertie Budget'!I38</f>
        <v>79509264.670332879</v>
      </c>
      <c r="D20" s="97">
        <f>C20/C$26</f>
        <v>0.83127553132588483</v>
      </c>
      <c r="E20" s="97"/>
      <c r="G20"/>
      <c r="H20"/>
    </row>
    <row r="21" spans="1:8" ht="15" customHeight="1" x14ac:dyDescent="0.3">
      <c r="A21" s="75">
        <v>2</v>
      </c>
      <c r="B21" s="76" t="s">
        <v>51</v>
      </c>
      <c r="C21" s="94">
        <f>'Measure 2- Solar PV+BESS Budget'!I39</f>
        <v>16138040.794698153</v>
      </c>
      <c r="D21" s="97">
        <f t="shared" ref="D21" si="1">C21/C$26</f>
        <v>0.16872446867411517</v>
      </c>
      <c r="E21" s="97"/>
      <c r="G21"/>
      <c r="H21"/>
    </row>
    <row r="22" spans="1:8" ht="15" customHeight="1" x14ac:dyDescent="0.3">
      <c r="A22" s="75"/>
      <c r="B22" s="76"/>
      <c r="C22" s="94"/>
      <c r="D22" s="97"/>
      <c r="E22" s="97"/>
      <c r="G22"/>
      <c r="H22"/>
    </row>
    <row r="23" spans="1:8" ht="15" customHeight="1" x14ac:dyDescent="0.3">
      <c r="A23" s="75"/>
      <c r="B23" s="76"/>
      <c r="C23" s="94"/>
      <c r="D23" s="97"/>
      <c r="E23" s="97"/>
      <c r="G23"/>
      <c r="H23"/>
    </row>
    <row r="24" spans="1:8" ht="15" customHeight="1" x14ac:dyDescent="0.3">
      <c r="A24" s="75"/>
      <c r="B24" s="76"/>
      <c r="C24" s="94"/>
      <c r="D24" s="97"/>
      <c r="E24" s="97"/>
      <c r="G24"/>
      <c r="H24"/>
    </row>
    <row r="25" spans="1:8" ht="15" customHeight="1" x14ac:dyDescent="0.3">
      <c r="A25" s="75"/>
      <c r="B25" s="76"/>
      <c r="C25" s="94"/>
      <c r="D25" s="97"/>
      <c r="E25" s="97"/>
      <c r="G25"/>
      <c r="H25"/>
    </row>
    <row r="26" spans="1:8" ht="15" customHeight="1" x14ac:dyDescent="0.3">
      <c r="A26" s="75" t="s">
        <v>27</v>
      </c>
      <c r="B26" s="76"/>
      <c r="C26" s="94">
        <f>SUM(C20:C25)</f>
        <v>95647305.465031028</v>
      </c>
      <c r="D26" s="97">
        <f t="shared" ref="D26" si="2">SUM(D20:D25)</f>
        <v>1</v>
      </c>
      <c r="E26" s="97"/>
      <c r="G26"/>
      <c r="H26"/>
    </row>
    <row r="27" spans="1:8" ht="15" customHeight="1" x14ac:dyDescent="0.3">
      <c r="G27"/>
      <c r="H27"/>
    </row>
  </sheetData>
  <mergeCells count="9">
    <mergeCell ref="D24:E24"/>
    <mergeCell ref="D25:E25"/>
    <mergeCell ref="D26:E26"/>
    <mergeCell ref="D18:E18"/>
    <mergeCell ref="D19:E19"/>
    <mergeCell ref="D20:E20"/>
    <mergeCell ref="D21:E21"/>
    <mergeCell ref="D22:E22"/>
    <mergeCell ref="D23:E23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45337-33A2-4194-BC62-DC39FAF891FA}">
  <sheetPr>
    <tabColor theme="9" tint="0.39997558519241921"/>
  </sheetPr>
  <dimension ref="A1:I40"/>
  <sheetViews>
    <sheetView zoomScale="70" zoomScaleNormal="70" workbookViewId="0">
      <selection activeCell="M18" sqref="M18"/>
    </sheetView>
  </sheetViews>
  <sheetFormatPr defaultRowHeight="14.4" x14ac:dyDescent="0.3"/>
  <cols>
    <col min="2" max="2" width="23.21875" bestFit="1" customWidth="1"/>
    <col min="3" max="3" width="10.5546875" bestFit="1" customWidth="1"/>
    <col min="4" max="7" width="11.5546875" bestFit="1" customWidth="1"/>
    <col min="9" max="9" width="11.5546875" bestFit="1" customWidth="1"/>
  </cols>
  <sheetData>
    <row r="1" spans="1:9" ht="23.4" x14ac:dyDescent="0.45">
      <c r="A1" s="20" t="s">
        <v>28</v>
      </c>
      <c r="C1" s="6"/>
      <c r="D1" s="2"/>
      <c r="G1" s="2"/>
      <c r="H1" s="7"/>
    </row>
    <row r="2" spans="1:9" x14ac:dyDescent="0.3">
      <c r="A2" s="5"/>
      <c r="C2" s="6"/>
      <c r="D2" s="2"/>
      <c r="G2" s="2"/>
      <c r="H2" s="7"/>
    </row>
    <row r="3" spans="1:9" ht="18" x14ac:dyDescent="0.35">
      <c r="A3" s="25" t="s">
        <v>1</v>
      </c>
      <c r="B3" s="26"/>
      <c r="C3" s="26"/>
      <c r="D3" s="26"/>
      <c r="E3" s="26"/>
      <c r="F3" s="26"/>
      <c r="G3" s="26"/>
      <c r="H3" s="26"/>
      <c r="I3" s="27"/>
    </row>
    <row r="4" spans="1:9" ht="28.8" x14ac:dyDescent="0.3">
      <c r="A4" s="28" t="s">
        <v>2</v>
      </c>
      <c r="B4" s="28" t="s">
        <v>3</v>
      </c>
      <c r="C4" s="28" t="s">
        <v>4</v>
      </c>
      <c r="D4" s="29" t="s">
        <v>5</v>
      </c>
      <c r="E4" s="29" t="s">
        <v>6</v>
      </c>
      <c r="F4" s="29" t="s">
        <v>7</v>
      </c>
      <c r="G4" s="30" t="s">
        <v>8</v>
      </c>
      <c r="H4" s="31"/>
      <c r="I4" s="32" t="s">
        <v>9</v>
      </c>
    </row>
    <row r="5" spans="1:9" x14ac:dyDescent="0.3">
      <c r="A5" s="16" t="s">
        <v>10</v>
      </c>
      <c r="B5" s="41" t="s">
        <v>29</v>
      </c>
      <c r="C5" s="42" t="s">
        <v>30</v>
      </c>
      <c r="D5" s="42" t="s">
        <v>30</v>
      </c>
      <c r="E5" s="42" t="s">
        <v>30</v>
      </c>
      <c r="F5" s="42"/>
      <c r="G5" s="42" t="s">
        <v>30</v>
      </c>
      <c r="H5" s="43"/>
      <c r="I5" s="44" t="s">
        <v>30</v>
      </c>
    </row>
    <row r="6" spans="1:9" x14ac:dyDescent="0.3">
      <c r="A6" s="17"/>
      <c r="B6" s="45" t="s">
        <v>40</v>
      </c>
      <c r="C6" s="46">
        <v>19090.000000000004</v>
      </c>
      <c r="D6" s="46">
        <v>19805.875000000007</v>
      </c>
      <c r="E6" s="46">
        <v>20548.595312500009</v>
      </c>
      <c r="F6" s="46">
        <v>15989.375727539071</v>
      </c>
      <c r="G6" s="46">
        <v>16588.977317321787</v>
      </c>
      <c r="H6" s="47"/>
      <c r="I6" s="46">
        <f>SUM(C6:G6)</f>
        <v>92022.823357360874</v>
      </c>
    </row>
    <row r="7" spans="1:9" x14ac:dyDescent="0.3">
      <c r="A7" s="17"/>
      <c r="B7" s="45" t="s">
        <v>41</v>
      </c>
      <c r="C7" s="46">
        <v>12885.750000000002</v>
      </c>
      <c r="D7" s="46">
        <v>13368.965625000001</v>
      </c>
      <c r="E7" s="46">
        <v>13870.301835937504</v>
      </c>
      <c r="F7" s="46">
        <v>9593.6254365234417</v>
      </c>
      <c r="G7" s="46">
        <v>9953.3863903930724</v>
      </c>
      <c r="H7" s="43"/>
      <c r="I7" s="46">
        <f>SUM(C7:G7)</f>
        <v>59672.02928785402</v>
      </c>
    </row>
    <row r="8" spans="1:9" x14ac:dyDescent="0.3">
      <c r="A8" s="17"/>
      <c r="B8" s="45" t="s">
        <v>42</v>
      </c>
      <c r="C8" s="46">
        <v>83518.75</v>
      </c>
      <c r="D8" s="46">
        <v>86650.703125</v>
      </c>
      <c r="E8" s="46">
        <v>89900.1044921875</v>
      </c>
      <c r="F8" s="46">
        <v>26648.95954589844</v>
      </c>
      <c r="G8" s="46">
        <v>27648.295528869632</v>
      </c>
      <c r="H8" s="43"/>
      <c r="I8" s="46">
        <f>SUM(C8:G8)</f>
        <v>314366.81269195554</v>
      </c>
    </row>
    <row r="9" spans="1:9" x14ac:dyDescent="0.3">
      <c r="A9" s="17"/>
      <c r="B9" s="48" t="s">
        <v>11</v>
      </c>
      <c r="C9" s="49">
        <f>SUM(C6:C8)</f>
        <v>115494.5</v>
      </c>
      <c r="D9" s="49">
        <f t="shared" ref="D9:I9" si="0">SUM(D6:D8)</f>
        <v>119825.54375000001</v>
      </c>
      <c r="E9" s="49">
        <f t="shared" si="0"/>
        <v>124319.00164062501</v>
      </c>
      <c r="F9" s="49">
        <f t="shared" si="0"/>
        <v>52231.960709960957</v>
      </c>
      <c r="G9" s="49">
        <f t="shared" si="0"/>
        <v>54190.659236584492</v>
      </c>
      <c r="H9" s="43"/>
      <c r="I9" s="49">
        <f t="shared" si="0"/>
        <v>466061.66533717042</v>
      </c>
    </row>
    <row r="10" spans="1:9" x14ac:dyDescent="0.3">
      <c r="A10" s="17"/>
      <c r="B10" s="50" t="s">
        <v>31</v>
      </c>
      <c r="C10" s="42" t="s">
        <v>30</v>
      </c>
      <c r="D10" s="42"/>
      <c r="E10" s="42"/>
      <c r="F10" s="42"/>
      <c r="G10" s="42"/>
      <c r="H10" s="43"/>
      <c r="I10" s="44" t="s">
        <v>30</v>
      </c>
    </row>
    <row r="11" spans="1:9" x14ac:dyDescent="0.3">
      <c r="A11" s="17"/>
      <c r="B11" s="45" t="s">
        <v>40</v>
      </c>
      <c r="C11" s="46">
        <f>0.561352352*C6</f>
        <v>10716.216399680003</v>
      </c>
      <c r="D11" s="46">
        <f t="shared" ref="D11:G11" si="1">0.561352352*D6</f>
        <v>11118.074514668004</v>
      </c>
      <c r="E11" s="46">
        <f t="shared" si="1"/>
        <v>11535.002308968054</v>
      </c>
      <c r="F11" s="46">
        <f t="shared" si="1"/>
        <v>8975.6736716657688</v>
      </c>
      <c r="G11" s="46">
        <f t="shared" si="1"/>
        <v>9312.261434353235</v>
      </c>
      <c r="H11" s="43"/>
      <c r="I11" s="46">
        <f>SUM(C11:G11)</f>
        <v>51657.228329335063</v>
      </c>
    </row>
    <row r="12" spans="1:9" x14ac:dyDescent="0.3">
      <c r="A12" s="17"/>
      <c r="B12" s="45" t="s">
        <v>41</v>
      </c>
      <c r="C12" s="46">
        <f t="shared" ref="C12:G13" si="2">0.561352352*C7</f>
        <v>7233.4460697840013</v>
      </c>
      <c r="D12" s="46">
        <f t="shared" si="2"/>
        <v>7504.7002974009001</v>
      </c>
      <c r="E12" s="46">
        <f t="shared" si="2"/>
        <v>7786.1265585534356</v>
      </c>
      <c r="F12" s="46">
        <f t="shared" si="2"/>
        <v>5385.4042029994607</v>
      </c>
      <c r="G12" s="46">
        <f t="shared" si="2"/>
        <v>5587.3568606119416</v>
      </c>
      <c r="H12" s="43"/>
      <c r="I12" s="46">
        <f>SUM(C12:G12)</f>
        <v>33497.033989349737</v>
      </c>
    </row>
    <row r="13" spans="1:9" x14ac:dyDescent="0.3">
      <c r="A13" s="17"/>
      <c r="B13" s="45" t="s">
        <v>42</v>
      </c>
      <c r="C13" s="46">
        <f t="shared" si="2"/>
        <v>46883.446748599999</v>
      </c>
      <c r="D13" s="46">
        <f t="shared" si="2"/>
        <v>48641.576001672503</v>
      </c>
      <c r="E13" s="46">
        <f t="shared" si="2"/>
        <v>50465.635101735221</v>
      </c>
      <c r="F13" s="46">
        <f t="shared" si="2"/>
        <v>14959.456119442941</v>
      </c>
      <c r="G13" s="46">
        <f t="shared" si="2"/>
        <v>15520.435723922052</v>
      </c>
      <c r="H13" s="43"/>
      <c r="I13" s="46">
        <f>SUM(C13:G13)</f>
        <v>176470.5496953727</v>
      </c>
    </row>
    <row r="14" spans="1:9" x14ac:dyDescent="0.3">
      <c r="A14" s="17"/>
      <c r="B14" s="48" t="s">
        <v>12</v>
      </c>
      <c r="C14" s="49">
        <f t="shared" ref="C14:I14" si="3">SUM(C11:C13)</f>
        <v>64833.109218064004</v>
      </c>
      <c r="D14" s="49">
        <f t="shared" si="3"/>
        <v>67264.350813741403</v>
      </c>
      <c r="E14" s="49">
        <f t="shared" si="3"/>
        <v>69786.763969256717</v>
      </c>
      <c r="F14" s="49">
        <f t="shared" si="3"/>
        <v>29320.533994108169</v>
      </c>
      <c r="G14" s="49">
        <f t="shared" si="3"/>
        <v>30420.054018887229</v>
      </c>
      <c r="H14" s="43"/>
      <c r="I14" s="49">
        <f t="shared" si="3"/>
        <v>261624.8120140575</v>
      </c>
    </row>
    <row r="15" spans="1:9" x14ac:dyDescent="0.3">
      <c r="A15" s="17"/>
      <c r="B15" s="50" t="s">
        <v>32</v>
      </c>
      <c r="C15" s="42" t="s">
        <v>30</v>
      </c>
      <c r="D15" s="42"/>
      <c r="E15" s="42"/>
      <c r="F15" s="42"/>
      <c r="G15" s="42"/>
      <c r="H15" s="43"/>
      <c r="I15" s="44" t="s">
        <v>30</v>
      </c>
    </row>
    <row r="16" spans="1:9" x14ac:dyDescent="0.3">
      <c r="A16" s="17"/>
      <c r="B16" s="96" t="s">
        <v>43</v>
      </c>
      <c r="C16" s="52">
        <f>'Measure 1- Intertie Budget'!C16+'Measure 2- Solar PV+BESS Budget'!C16</f>
        <v>3768</v>
      </c>
      <c r="D16" s="52">
        <f>'Measure 1- Intertie Budget'!D16+'Measure 2- Solar PV+BESS Budget'!D16</f>
        <v>2512</v>
      </c>
      <c r="E16" s="52">
        <f>'Measure 1- Intertie Budget'!E16+'Measure 2- Solar PV+BESS Budget'!E16</f>
        <v>2512</v>
      </c>
      <c r="F16" s="52">
        <f>'Measure 1- Intertie Budget'!F16+'Measure 2- Solar PV+BESS Budget'!F16</f>
        <v>1884</v>
      </c>
      <c r="G16" s="52">
        <f>'Measure 1- Intertie Budget'!G16+'Measure 2- Solar PV+BESS Budget'!G16</f>
        <v>1884</v>
      </c>
      <c r="H16" s="43"/>
      <c r="I16" s="46">
        <f t="shared" ref="I16:I18" si="4">SUM(C16:G16)</f>
        <v>12560</v>
      </c>
    </row>
    <row r="17" spans="1:9" x14ac:dyDescent="0.3">
      <c r="A17" s="17"/>
      <c r="B17" s="96" t="s">
        <v>44</v>
      </c>
      <c r="C17" s="52">
        <f>'Measure 1- Intertie Budget'!C17+'Measure 2- Solar PV+BESS Budget'!C17</f>
        <v>1311.7800000000002</v>
      </c>
      <c r="D17" s="52">
        <f>'Measure 1- Intertie Budget'!D17+'Measure 2- Solar PV+BESS Budget'!D17</f>
        <v>1197.2</v>
      </c>
      <c r="E17" s="52">
        <f>'Measure 1- Intertie Budget'!E17+'Measure 2- Solar PV+BESS Budget'!E17</f>
        <v>1197.2</v>
      </c>
      <c r="F17" s="52">
        <f>'Measure 1- Intertie Budget'!F17+'Measure 2- Solar PV+BESS Budget'!F17</f>
        <v>889.90000000000009</v>
      </c>
      <c r="G17" s="52">
        <f>'Measure 1- Intertie Budget'!G17+'Measure 2- Solar PV+BESS Budget'!G17</f>
        <v>889.90000000000009</v>
      </c>
      <c r="H17" s="43"/>
      <c r="I17" s="46">
        <f t="shared" si="4"/>
        <v>5485.98</v>
      </c>
    </row>
    <row r="18" spans="1:9" x14ac:dyDescent="0.3">
      <c r="A18" s="17"/>
      <c r="B18" s="8" t="s">
        <v>13</v>
      </c>
      <c r="C18" s="53">
        <f>SUM(C16:C17)</f>
        <v>5079.7800000000007</v>
      </c>
      <c r="D18" s="53">
        <f>SUM(D16:D17)</f>
        <v>3709.2</v>
      </c>
      <c r="E18" s="53">
        <f>SUM(E16:E17)</f>
        <v>3709.2</v>
      </c>
      <c r="F18" s="53">
        <f>SUM(F16:F17)</f>
        <v>2773.9</v>
      </c>
      <c r="G18" s="53">
        <f>SUM(G16:G17)</f>
        <v>2773.9</v>
      </c>
      <c r="H18" s="43"/>
      <c r="I18" s="49">
        <f t="shared" si="4"/>
        <v>18045.98</v>
      </c>
    </row>
    <row r="19" spans="1:9" x14ac:dyDescent="0.3">
      <c r="A19" s="17"/>
      <c r="B19" s="11" t="s">
        <v>33</v>
      </c>
      <c r="C19" s="12"/>
      <c r="D19" s="9"/>
      <c r="E19" s="9"/>
      <c r="F19" s="9"/>
      <c r="G19" s="9"/>
      <c r="H19" s="7"/>
      <c r="I19" s="33" t="s">
        <v>19</v>
      </c>
    </row>
    <row r="20" spans="1:9" x14ac:dyDescent="0.3">
      <c r="A20" s="17"/>
      <c r="B20" s="8" t="s">
        <v>14</v>
      </c>
      <c r="C20" s="54">
        <v>0</v>
      </c>
      <c r="D20" s="54">
        <v>0</v>
      </c>
      <c r="E20" s="54">
        <v>0</v>
      </c>
      <c r="F20" s="54">
        <v>0</v>
      </c>
      <c r="G20" s="54">
        <v>0</v>
      </c>
      <c r="H20" s="43"/>
      <c r="I20" s="49">
        <f>SUM(C20:G20)</f>
        <v>0</v>
      </c>
    </row>
    <row r="21" spans="1:9" x14ac:dyDescent="0.3">
      <c r="A21" s="17"/>
      <c r="B21" s="11" t="s">
        <v>34</v>
      </c>
      <c r="C21" s="10" t="s">
        <v>30</v>
      </c>
      <c r="D21" s="9"/>
      <c r="E21" s="9"/>
      <c r="F21" s="9"/>
      <c r="G21" s="9"/>
      <c r="H21" s="7"/>
      <c r="I21" s="33"/>
    </row>
    <row r="22" spans="1:9" x14ac:dyDescent="0.3">
      <c r="A22" s="17"/>
      <c r="B22" s="8" t="s">
        <v>15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3"/>
      <c r="I22" s="49">
        <f>SUM(C22:G22)</f>
        <v>0</v>
      </c>
    </row>
    <row r="23" spans="1:9" x14ac:dyDescent="0.3">
      <c r="A23" s="17"/>
      <c r="B23" s="11" t="s">
        <v>35</v>
      </c>
      <c r="C23" s="42" t="s">
        <v>30</v>
      </c>
      <c r="D23" s="42"/>
      <c r="E23" s="42"/>
      <c r="F23" s="42"/>
      <c r="G23" s="42"/>
      <c r="H23" s="43"/>
      <c r="I23" s="46"/>
    </row>
    <row r="24" spans="1:9" x14ac:dyDescent="0.3">
      <c r="A24" s="17"/>
      <c r="B24" s="55" t="s">
        <v>45</v>
      </c>
      <c r="C24" s="46">
        <f>745499/5</f>
        <v>149099.79999999999</v>
      </c>
      <c r="D24" s="46">
        <f>C24</f>
        <v>149099.79999999999</v>
      </c>
      <c r="E24" s="46">
        <f t="shared" ref="E24:G24" si="5">D24</f>
        <v>149099.79999999999</v>
      </c>
      <c r="F24" s="46">
        <f t="shared" si="5"/>
        <v>149099.79999999999</v>
      </c>
      <c r="G24" s="46">
        <f t="shared" si="5"/>
        <v>149099.79999999999</v>
      </c>
      <c r="H24" s="47"/>
      <c r="I24" s="46">
        <f>SUM(C24:G24)</f>
        <v>745499</v>
      </c>
    </row>
    <row r="25" spans="1:9" ht="28.8" x14ac:dyDescent="0.3">
      <c r="A25" s="17"/>
      <c r="B25" s="55" t="s">
        <v>46</v>
      </c>
      <c r="C25" s="46">
        <f>1500000+112900</f>
        <v>1612900</v>
      </c>
      <c r="D25" s="46">
        <v>2500000</v>
      </c>
      <c r="E25" s="46">
        <f>2500000+50000</f>
        <v>2550000</v>
      </c>
      <c r="F25" s="46"/>
      <c r="G25" s="46"/>
      <c r="H25" s="47"/>
      <c r="I25" s="46">
        <f>SUM(C25:G25)</f>
        <v>6662900</v>
      </c>
    </row>
    <row r="26" spans="1:9" ht="28.8" x14ac:dyDescent="0.3">
      <c r="A26" s="17"/>
      <c r="B26" s="55" t="s">
        <v>47</v>
      </c>
      <c r="C26" s="46"/>
      <c r="D26" s="46"/>
      <c r="E26" s="46"/>
      <c r="F26" s="46">
        <v>626995</v>
      </c>
      <c r="G26" s="46">
        <v>626995</v>
      </c>
      <c r="H26" s="47"/>
      <c r="I26" s="46">
        <f>SUM(C26:G26)</f>
        <v>1253990</v>
      </c>
    </row>
    <row r="27" spans="1:9" x14ac:dyDescent="0.3">
      <c r="A27" s="17"/>
      <c r="B27" s="55" t="s">
        <v>48</v>
      </c>
      <c r="C27" s="46"/>
      <c r="D27" s="46"/>
      <c r="E27" s="46"/>
      <c r="F27" s="46">
        <f>(74549942.76-SUM(C25:G26))/2</f>
        <v>33316526.380000003</v>
      </c>
      <c r="G27" s="46">
        <f>F27</f>
        <v>33316526.380000003</v>
      </c>
      <c r="H27" s="43"/>
      <c r="I27" s="46">
        <f>SUM(C27:G27)</f>
        <v>66633052.760000005</v>
      </c>
    </row>
    <row r="28" spans="1:9" ht="28.8" x14ac:dyDescent="0.3">
      <c r="A28" s="17"/>
      <c r="B28" s="55" t="s">
        <v>46</v>
      </c>
      <c r="C28" s="46">
        <f>'Measure 2- Solar PV+BESS Budget'!C24</f>
        <v>424321</v>
      </c>
      <c r="D28" s="46"/>
      <c r="E28" s="46"/>
      <c r="F28" s="46"/>
      <c r="G28" s="46"/>
      <c r="H28" s="43"/>
      <c r="I28" s="46"/>
    </row>
    <row r="29" spans="1:9" x14ac:dyDescent="0.3">
      <c r="A29" s="17"/>
      <c r="B29" s="55" t="s">
        <v>49</v>
      </c>
      <c r="C29" s="46"/>
      <c r="D29" s="46">
        <f>282894/2</f>
        <v>141447</v>
      </c>
      <c r="E29" s="46">
        <f>D29</f>
        <v>141447</v>
      </c>
      <c r="F29" s="46"/>
      <c r="G29" s="46"/>
      <c r="H29" s="43"/>
      <c r="I29" s="46"/>
    </row>
    <row r="30" spans="1:9" x14ac:dyDescent="0.3">
      <c r="A30" s="17"/>
      <c r="B30" s="55" t="s">
        <v>48</v>
      </c>
      <c r="C30" s="46"/>
      <c r="D30" s="46">
        <f>14094692/2</f>
        <v>7047346</v>
      </c>
      <c r="E30" s="46">
        <f>D30+50000+19</f>
        <v>7097365</v>
      </c>
      <c r="F30" s="46"/>
      <c r="G30" s="46"/>
      <c r="H30" s="43"/>
      <c r="I30" s="46"/>
    </row>
    <row r="31" spans="1:9" x14ac:dyDescent="0.3">
      <c r="A31" s="17"/>
      <c r="B31" s="48" t="s">
        <v>38</v>
      </c>
      <c r="C31" s="49">
        <f>SUM(C24:C30)</f>
        <v>2186320.7999999998</v>
      </c>
      <c r="D31" s="49">
        <f>SUM(D24:D30)</f>
        <v>9837892.8000000007</v>
      </c>
      <c r="E31" s="49">
        <f t="shared" ref="E31:G31" si="6">SUM(E24:E30)</f>
        <v>9937911.8000000007</v>
      </c>
      <c r="F31" s="49">
        <f t="shared" si="6"/>
        <v>34092621.18</v>
      </c>
      <c r="G31" s="49">
        <f t="shared" si="6"/>
        <v>34092621.18</v>
      </c>
      <c r="H31" s="43"/>
      <c r="I31" s="49">
        <f>SUM(C31:G31)</f>
        <v>90147367.75999999</v>
      </c>
    </row>
    <row r="32" spans="1:9" x14ac:dyDescent="0.3">
      <c r="A32" s="17"/>
      <c r="B32" s="50" t="s">
        <v>39</v>
      </c>
      <c r="C32" s="56" t="s">
        <v>30</v>
      </c>
      <c r="D32" s="42"/>
      <c r="E32" s="42"/>
      <c r="F32" s="42"/>
      <c r="G32" s="42"/>
      <c r="H32" s="43"/>
      <c r="I32" s="46"/>
    </row>
    <row r="33" spans="1:9" x14ac:dyDescent="0.3">
      <c r="A33" s="18"/>
      <c r="B33" s="48" t="s">
        <v>17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  <c r="H33" s="43"/>
      <c r="I33" s="49">
        <f t="shared" ref="I33:I34" si="7">SUM(C33:G33)</f>
        <v>0</v>
      </c>
    </row>
    <row r="34" spans="1:9" x14ac:dyDescent="0.3">
      <c r="A34" s="18"/>
      <c r="B34" s="48" t="s">
        <v>18</v>
      </c>
      <c r="C34" s="49">
        <f>SUM(C33,C31,C22,C20,C18,C14,C9)</f>
        <v>2371728.1892180638</v>
      </c>
      <c r="D34" s="49">
        <f>SUM(D33,D31,D22,D20,D18,D14,D9)</f>
        <v>10028691.89456374</v>
      </c>
      <c r="E34" s="49">
        <f>SUM(E33,E31,E22,E20,E18,E14,E9)</f>
        <v>10135726.765609883</v>
      </c>
      <c r="F34" s="49">
        <f>SUM(F33,F31,F22,F20,F18,F14,F9)</f>
        <v>34176947.574704066</v>
      </c>
      <c r="G34" s="49">
        <f>SUM(G33,G31,G22,G20,G18,G14,G9)</f>
        <v>34180005.793255471</v>
      </c>
      <c r="H34" s="43"/>
      <c r="I34" s="49">
        <f t="shared" si="7"/>
        <v>90893100.217351228</v>
      </c>
    </row>
    <row r="35" spans="1:9" x14ac:dyDescent="0.3">
      <c r="A35" s="6"/>
      <c r="I35" t="s">
        <v>19</v>
      </c>
    </row>
    <row r="36" spans="1:9" ht="28.8" x14ac:dyDescent="0.3">
      <c r="A36" s="40" t="s">
        <v>37</v>
      </c>
      <c r="B36" s="13" t="s">
        <v>37</v>
      </c>
      <c r="C36" s="44"/>
      <c r="D36" s="44"/>
      <c r="E36" s="44"/>
      <c r="F36" s="44"/>
      <c r="G36" s="44"/>
      <c r="H36" s="43"/>
      <c r="I36" s="44" t="s">
        <v>19</v>
      </c>
    </row>
    <row r="37" spans="1:9" x14ac:dyDescent="0.3">
      <c r="A37" s="17"/>
      <c r="B37" s="19"/>
      <c r="C37" s="46">
        <f>0.05*C31+((C34-C31)*0.331)</f>
        <v>170685.88583117918</v>
      </c>
      <c r="D37" s="46">
        <f>0.05*D31+((D34-D31)*0.331)</f>
        <v>555049.14030059776</v>
      </c>
      <c r="E37" s="46">
        <f>0.05*E31+((E34-E31)*0.331)</f>
        <v>562372.34361687105</v>
      </c>
      <c r="F37" s="46">
        <f>0.05*F31+((F34-F31)*0.331)</f>
        <v>1732543.0956470461</v>
      </c>
      <c r="G37" s="46">
        <f>0.05*G31+((G34-G31)*0.331)</f>
        <v>1733555.3659875609</v>
      </c>
      <c r="H37" s="43"/>
      <c r="I37" s="46">
        <f>SUM(C37:G37)</f>
        <v>4754205.8313832553</v>
      </c>
    </row>
    <row r="38" spans="1:9" x14ac:dyDescent="0.3">
      <c r="A38" s="18"/>
      <c r="B38" s="8" t="s">
        <v>20</v>
      </c>
      <c r="C38" s="49">
        <f>SUM(C37:C37)</f>
        <v>170685.88583117918</v>
      </c>
      <c r="D38" s="49">
        <f>SUM(D37:D37)</f>
        <v>555049.14030059776</v>
      </c>
      <c r="E38" s="49">
        <f>SUM(E37:E37)</f>
        <v>562372.34361687105</v>
      </c>
      <c r="F38" s="49">
        <f>SUM(F37:F37)</f>
        <v>1732543.0956470461</v>
      </c>
      <c r="G38" s="49">
        <f>SUM(G37:G37)</f>
        <v>1733555.3659875609</v>
      </c>
      <c r="H38" s="43"/>
      <c r="I38" s="49">
        <f>SUM(C38:G38)</f>
        <v>4754205.8313832553</v>
      </c>
    </row>
    <row r="39" spans="1:9" ht="15" thickBot="1" x14ac:dyDescent="0.35">
      <c r="A39" s="6"/>
      <c r="I39" t="s">
        <v>19</v>
      </c>
    </row>
    <row r="40" spans="1:9" ht="29.4" thickBot="1" x14ac:dyDescent="0.35">
      <c r="A40" s="14" t="s">
        <v>21</v>
      </c>
      <c r="B40" s="14"/>
      <c r="C40" s="59">
        <f>SUM(C38,C34)</f>
        <v>2542414.0750492429</v>
      </c>
      <c r="D40" s="59">
        <f>SUM(D38,D34)</f>
        <v>10583741.034864338</v>
      </c>
      <c r="E40" s="59">
        <f>SUM(E38,E34)</f>
        <v>10698099.109226754</v>
      </c>
      <c r="F40" s="59">
        <f>SUM(F38,F34)</f>
        <v>35909490.67035111</v>
      </c>
      <c r="G40" s="59">
        <f>SUM(G38,G34)</f>
        <v>35913561.159243032</v>
      </c>
      <c r="H40" s="43"/>
      <c r="I40" s="59">
        <f>SUM(I38,I34)</f>
        <v>95647306.048734486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A2:AL49"/>
  <sheetViews>
    <sheetView showGridLines="0" zoomScale="85" zoomScaleNormal="85" workbookViewId="0">
      <selection activeCell="A3" sqref="A3:XFD4"/>
    </sheetView>
  </sheetViews>
  <sheetFormatPr defaultColWidth="9.21875" defaultRowHeight="14.4" x14ac:dyDescent="0.3"/>
  <cols>
    <col min="1" max="1" width="10.21875" customWidth="1"/>
    <col min="2" max="2" width="35.44140625" customWidth="1"/>
    <col min="3" max="3" width="12.44140625" style="6" customWidth="1"/>
    <col min="4" max="4" width="12.5546875" style="2" customWidth="1"/>
    <col min="5" max="5" width="12.44140625" customWidth="1"/>
    <col min="6" max="6" width="13" customWidth="1"/>
    <col min="7" max="7" width="12.44140625" style="2" customWidth="1"/>
    <col min="8" max="8" width="1.77734375" style="7" customWidth="1"/>
    <col min="9" max="9" width="12.77734375" customWidth="1"/>
    <col min="10" max="10" width="10.21875" customWidth="1"/>
  </cols>
  <sheetData>
    <row r="2" spans="1:38" ht="23.4" x14ac:dyDescent="0.45">
      <c r="A2" s="20" t="s">
        <v>28</v>
      </c>
    </row>
    <row r="3" spans="1:38" ht="18" x14ac:dyDescent="0.35">
      <c r="A3" s="25" t="s">
        <v>1</v>
      </c>
      <c r="B3" s="26"/>
      <c r="C3" s="26"/>
      <c r="D3" s="26"/>
      <c r="E3" s="26"/>
      <c r="F3" s="26"/>
      <c r="G3" s="26"/>
      <c r="H3" s="26"/>
      <c r="I3" s="27"/>
    </row>
    <row r="4" spans="1:38" x14ac:dyDescent="0.3">
      <c r="A4" s="28" t="s">
        <v>2</v>
      </c>
      <c r="B4" s="28" t="s">
        <v>3</v>
      </c>
      <c r="C4" s="28" t="s">
        <v>4</v>
      </c>
      <c r="D4" s="29" t="s">
        <v>5</v>
      </c>
      <c r="E4" s="29" t="s">
        <v>6</v>
      </c>
      <c r="F4" s="29" t="s">
        <v>7</v>
      </c>
      <c r="G4" s="30" t="s">
        <v>8</v>
      </c>
      <c r="H4" s="31"/>
      <c r="I4" s="32" t="s">
        <v>9</v>
      </c>
    </row>
    <row r="5" spans="1:38" s="5" customFormat="1" x14ac:dyDescent="0.3">
      <c r="A5" s="16" t="s">
        <v>10</v>
      </c>
      <c r="B5" s="41" t="s">
        <v>29</v>
      </c>
      <c r="C5" s="42" t="s">
        <v>30</v>
      </c>
      <c r="D5" s="42" t="s">
        <v>30</v>
      </c>
      <c r="E5" s="42" t="s">
        <v>30</v>
      </c>
      <c r="F5" s="42"/>
      <c r="G5" s="42" t="s">
        <v>30</v>
      </c>
      <c r="H5" s="43"/>
      <c r="I5" s="44" t="s">
        <v>30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1:38" x14ac:dyDescent="0.3">
      <c r="A6" s="17"/>
      <c r="B6" s="45" t="s">
        <v>40</v>
      </c>
      <c r="C6" s="46">
        <f>0.25*'Combined Measures'!C6</f>
        <v>4772.5000000000009</v>
      </c>
      <c r="D6" s="46">
        <f>0.25*'Combined Measures'!D6</f>
        <v>4951.4687500000018</v>
      </c>
      <c r="E6" s="46">
        <f>0.25*'Combined Measures'!E6</f>
        <v>5137.1488281250022</v>
      </c>
      <c r="F6" s="46">
        <f>'Combined Measures'!F6</f>
        <v>15989.375727539071</v>
      </c>
      <c r="G6" s="46">
        <f>'Combined Measures'!G6</f>
        <v>16588.977317321787</v>
      </c>
      <c r="H6" s="47"/>
      <c r="I6" s="46">
        <f>SUM(C6:G6)</f>
        <v>47439.470622985864</v>
      </c>
    </row>
    <row r="7" spans="1:38" x14ac:dyDescent="0.3">
      <c r="A7" s="17"/>
      <c r="B7" s="45" t="s">
        <v>41</v>
      </c>
      <c r="C7" s="46">
        <f>'Combined Measures'!C7*0.333333</f>
        <v>4295.2457047500002</v>
      </c>
      <c r="D7" s="46">
        <f>'Combined Measures'!D7*0.333333</f>
        <v>4456.3174186781253</v>
      </c>
      <c r="E7" s="46">
        <f>'Combined Measures'!E7*0.333333</f>
        <v>4623.429321878556</v>
      </c>
      <c r="F7" s="46">
        <f>'Combined Measures'!F7</f>
        <v>9593.6254365234417</v>
      </c>
      <c r="G7" s="46">
        <f>'Combined Measures'!G7</f>
        <v>9953.3863903930724</v>
      </c>
      <c r="H7" s="43"/>
      <c r="I7" s="46">
        <f>SUM(C7:G7)</f>
        <v>32922.004272223196</v>
      </c>
    </row>
    <row r="8" spans="1:38" x14ac:dyDescent="0.3">
      <c r="A8" s="17"/>
      <c r="B8" s="45" t="s">
        <v>42</v>
      </c>
      <c r="C8" s="46">
        <f>'Combined Measures'!C8*2/7</f>
        <v>23862.5</v>
      </c>
      <c r="D8" s="46">
        <f>'Combined Measures'!D8*2/7</f>
        <v>24757.34375</v>
      </c>
      <c r="E8" s="46">
        <f>'Combined Measures'!E8*2/7</f>
        <v>25685.744140625</v>
      </c>
      <c r="F8" s="46">
        <f>'Combined Measures'!F8</f>
        <v>26648.95954589844</v>
      </c>
      <c r="G8" s="46">
        <f>'Combined Measures'!G8</f>
        <v>27648.295528869632</v>
      </c>
      <c r="H8" s="43"/>
      <c r="I8" s="46">
        <f>SUM(C8:G8)</f>
        <v>128602.84296539307</v>
      </c>
    </row>
    <row r="9" spans="1:38" x14ac:dyDescent="0.3">
      <c r="A9" s="17"/>
      <c r="B9" s="48" t="s">
        <v>11</v>
      </c>
      <c r="C9" s="49">
        <f>SUM(C6:C8)</f>
        <v>32930.245704749999</v>
      </c>
      <c r="D9" s="49">
        <f t="shared" ref="D9:I9" si="0">SUM(D6:D8)</f>
        <v>34165.129918678125</v>
      </c>
      <c r="E9" s="49">
        <f t="shared" si="0"/>
        <v>35446.322290628559</v>
      </c>
      <c r="F9" s="49">
        <f t="shared" si="0"/>
        <v>52231.960709960957</v>
      </c>
      <c r="G9" s="49">
        <f t="shared" si="0"/>
        <v>54190.659236584492</v>
      </c>
      <c r="H9" s="43"/>
      <c r="I9" s="49">
        <f t="shared" si="0"/>
        <v>208964.31786060211</v>
      </c>
    </row>
    <row r="10" spans="1:38" x14ac:dyDescent="0.3">
      <c r="A10" s="17"/>
      <c r="B10" s="50" t="s">
        <v>31</v>
      </c>
      <c r="C10" s="42" t="s">
        <v>30</v>
      </c>
      <c r="D10" s="42"/>
      <c r="E10" s="42"/>
      <c r="F10" s="42"/>
      <c r="G10" s="42"/>
      <c r="H10" s="43"/>
      <c r="I10" s="44" t="s">
        <v>30</v>
      </c>
    </row>
    <row r="11" spans="1:38" x14ac:dyDescent="0.3">
      <c r="A11" s="17"/>
      <c r="B11" s="45" t="s">
        <v>40</v>
      </c>
      <c r="C11" s="46">
        <f>0.561352352*C6</f>
        <v>2679.0540999200007</v>
      </c>
      <c r="D11" s="46">
        <f t="shared" ref="D11:G11" si="1">0.561352352*D6</f>
        <v>2779.5186286670009</v>
      </c>
      <c r="E11" s="46">
        <f t="shared" si="1"/>
        <v>2883.7505772420136</v>
      </c>
      <c r="F11" s="46">
        <f t="shared" si="1"/>
        <v>8975.6736716657688</v>
      </c>
      <c r="G11" s="46">
        <f t="shared" si="1"/>
        <v>9312.261434353235</v>
      </c>
      <c r="H11" s="43"/>
      <c r="I11" s="46">
        <f>SUM(C11:G11)</f>
        <v>26630.258411848015</v>
      </c>
    </row>
    <row r="12" spans="1:38" x14ac:dyDescent="0.3">
      <c r="A12" s="17"/>
      <c r="B12" s="45" t="s">
        <v>41</v>
      </c>
      <c r="C12" s="46">
        <f t="shared" ref="C12:G12" si="2">0.561352352*C7</f>
        <v>2411.1462787793103</v>
      </c>
      <c r="D12" s="46">
        <f t="shared" si="2"/>
        <v>2501.5642642335342</v>
      </c>
      <c r="E12" s="46">
        <f t="shared" si="2"/>
        <v>2595.3729241422925</v>
      </c>
      <c r="F12" s="46">
        <f t="shared" si="2"/>
        <v>5385.4042029994607</v>
      </c>
      <c r="G12" s="46">
        <f t="shared" si="2"/>
        <v>5587.3568606119416</v>
      </c>
      <c r="H12" s="43"/>
      <c r="I12" s="46">
        <f>SUM(C12:G12)</f>
        <v>18480.844530766539</v>
      </c>
    </row>
    <row r="13" spans="1:38" x14ac:dyDescent="0.3">
      <c r="A13" s="17"/>
      <c r="B13" s="45" t="s">
        <v>42</v>
      </c>
      <c r="C13" s="46">
        <f t="shared" ref="C13:G13" si="3">0.561352352*C8</f>
        <v>13395.270499599999</v>
      </c>
      <c r="D13" s="46">
        <f t="shared" si="3"/>
        <v>13897.593143335</v>
      </c>
      <c r="E13" s="46">
        <f t="shared" si="3"/>
        <v>14418.752886210063</v>
      </c>
      <c r="F13" s="46">
        <f t="shared" si="3"/>
        <v>14959.456119442941</v>
      </c>
      <c r="G13" s="46">
        <f t="shared" si="3"/>
        <v>15520.435723922052</v>
      </c>
      <c r="H13" s="43"/>
      <c r="I13" s="46">
        <f>SUM(C13:G13)</f>
        <v>72191.508372510056</v>
      </c>
    </row>
    <row r="14" spans="1:38" x14ac:dyDescent="0.3">
      <c r="A14" s="17"/>
      <c r="B14" s="48" t="s">
        <v>12</v>
      </c>
      <c r="C14" s="49">
        <f t="shared" ref="C14:I14" si="4">SUM(C11:C13)</f>
        <v>18485.470878299311</v>
      </c>
      <c r="D14" s="49">
        <f t="shared" si="4"/>
        <v>19178.676036235534</v>
      </c>
      <c r="E14" s="49">
        <f t="shared" si="4"/>
        <v>19897.87638759437</v>
      </c>
      <c r="F14" s="49">
        <f t="shared" si="4"/>
        <v>29320.533994108169</v>
      </c>
      <c r="G14" s="49">
        <f t="shared" si="4"/>
        <v>30420.054018887229</v>
      </c>
      <c r="H14" s="43"/>
      <c r="I14" s="49">
        <f t="shared" si="4"/>
        <v>117302.61131512461</v>
      </c>
    </row>
    <row r="15" spans="1:38" x14ac:dyDescent="0.3">
      <c r="A15" s="17"/>
      <c r="B15" s="50" t="s">
        <v>32</v>
      </c>
      <c r="C15" s="42" t="s">
        <v>30</v>
      </c>
      <c r="D15" s="42"/>
      <c r="E15" s="42"/>
      <c r="F15" s="42"/>
      <c r="G15" s="42"/>
      <c r="H15" s="43"/>
      <c r="I15" s="44" t="s">
        <v>30</v>
      </c>
    </row>
    <row r="16" spans="1:38" x14ac:dyDescent="0.3">
      <c r="A16" s="17"/>
      <c r="B16" s="96" t="s">
        <v>43</v>
      </c>
      <c r="C16" s="52">
        <f>314*2*2</f>
        <v>1256</v>
      </c>
      <c r="D16" s="52">
        <f t="shared" ref="D16:E16" si="5">314*2*2</f>
        <v>1256</v>
      </c>
      <c r="E16" s="52">
        <f t="shared" si="5"/>
        <v>1256</v>
      </c>
      <c r="F16" s="52">
        <f>314*2*3</f>
        <v>1884</v>
      </c>
      <c r="G16" s="52">
        <f>314*2*3</f>
        <v>1884</v>
      </c>
      <c r="H16" s="43"/>
      <c r="I16" s="46">
        <f t="shared" ref="I16:I18" si="6">SUM(C16:G16)</f>
        <v>7536</v>
      </c>
    </row>
    <row r="17" spans="1:9" x14ac:dyDescent="0.3">
      <c r="A17" s="17"/>
      <c r="B17" s="96" t="s">
        <v>44</v>
      </c>
      <c r="C17" s="52">
        <f>0.65*211*2*2+50</f>
        <v>598.6</v>
      </c>
      <c r="D17" s="52">
        <f>0.65*211*2*2+50</f>
        <v>598.6</v>
      </c>
      <c r="E17" s="52">
        <f>0.65*211*2*2+50</f>
        <v>598.6</v>
      </c>
      <c r="F17" s="52">
        <f>0.65*211*2*3+50+17</f>
        <v>889.90000000000009</v>
      </c>
      <c r="G17" s="52">
        <f>0.65*211*2*3+50+17</f>
        <v>889.90000000000009</v>
      </c>
      <c r="H17" s="43"/>
      <c r="I17" s="46">
        <f t="shared" si="6"/>
        <v>3575.6000000000004</v>
      </c>
    </row>
    <row r="18" spans="1:9" x14ac:dyDescent="0.3">
      <c r="A18" s="17"/>
      <c r="B18" s="8" t="s">
        <v>13</v>
      </c>
      <c r="C18" s="53">
        <f>SUM(C16:C17)</f>
        <v>1854.6</v>
      </c>
      <c r="D18" s="53">
        <f>SUM(D16:D17)</f>
        <v>1854.6</v>
      </c>
      <c r="E18" s="53">
        <f>SUM(E16:E17)</f>
        <v>1854.6</v>
      </c>
      <c r="F18" s="53">
        <f>SUM(F16:F17)</f>
        <v>2773.9</v>
      </c>
      <c r="G18" s="53">
        <f>SUM(G16:G17)</f>
        <v>2773.9</v>
      </c>
      <c r="H18" s="43"/>
      <c r="I18" s="49">
        <f t="shared" si="6"/>
        <v>11111.599999999999</v>
      </c>
    </row>
    <row r="19" spans="1:9" x14ac:dyDescent="0.3">
      <c r="A19" s="17"/>
      <c r="B19" s="11" t="s">
        <v>33</v>
      </c>
      <c r="C19" s="12"/>
      <c r="D19" s="9"/>
      <c r="E19" s="9"/>
      <c r="F19" s="9"/>
      <c r="G19" s="9"/>
      <c r="I19" s="33" t="s">
        <v>19</v>
      </c>
    </row>
    <row r="20" spans="1:9" x14ac:dyDescent="0.3">
      <c r="A20" s="17"/>
      <c r="B20" s="8" t="s">
        <v>14</v>
      </c>
      <c r="C20" s="54">
        <v>0</v>
      </c>
      <c r="D20" s="54">
        <v>0</v>
      </c>
      <c r="E20" s="54">
        <v>0</v>
      </c>
      <c r="F20" s="54">
        <v>0</v>
      </c>
      <c r="G20" s="54">
        <v>0</v>
      </c>
      <c r="H20" s="43"/>
      <c r="I20" s="49">
        <f>SUM(C20:G20)</f>
        <v>0</v>
      </c>
    </row>
    <row r="21" spans="1:9" x14ac:dyDescent="0.3">
      <c r="A21" s="17"/>
      <c r="B21" s="11" t="s">
        <v>34</v>
      </c>
      <c r="C21" s="10" t="s">
        <v>30</v>
      </c>
      <c r="D21" s="9"/>
      <c r="E21" s="9"/>
      <c r="F21" s="9"/>
      <c r="G21" s="9"/>
      <c r="I21" s="33"/>
    </row>
    <row r="22" spans="1:9" x14ac:dyDescent="0.3">
      <c r="A22" s="17"/>
      <c r="B22" s="8" t="s">
        <v>15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3"/>
      <c r="I22" s="49">
        <f>SUM(C22:G22)</f>
        <v>0</v>
      </c>
    </row>
    <row r="23" spans="1:9" ht="18" customHeight="1" x14ac:dyDescent="0.3">
      <c r="A23" s="17"/>
      <c r="B23" s="11" t="s">
        <v>35</v>
      </c>
      <c r="C23" s="42" t="s">
        <v>30</v>
      </c>
      <c r="D23" s="42"/>
      <c r="E23" s="42"/>
      <c r="F23" s="42"/>
      <c r="G23" s="42"/>
      <c r="H23" s="43"/>
      <c r="I23" s="46"/>
    </row>
    <row r="24" spans="1:9" x14ac:dyDescent="0.3">
      <c r="A24" s="17"/>
      <c r="B24" s="55" t="s">
        <v>45</v>
      </c>
      <c r="C24" s="46">
        <f>745499/5</f>
        <v>149099.79999999999</v>
      </c>
      <c r="D24" s="46">
        <f>C24</f>
        <v>149099.79999999999</v>
      </c>
      <c r="E24" s="46">
        <f t="shared" ref="E24:G24" si="7">D24</f>
        <v>149099.79999999999</v>
      </c>
      <c r="F24" s="46">
        <f t="shared" si="7"/>
        <v>149099.79999999999</v>
      </c>
      <c r="G24" s="46">
        <f t="shared" si="7"/>
        <v>149099.79999999999</v>
      </c>
      <c r="H24" s="47"/>
      <c r="I24" s="46">
        <f>SUM(C24:G24)</f>
        <v>745499</v>
      </c>
    </row>
    <row r="25" spans="1:9" x14ac:dyDescent="0.3">
      <c r="A25" s="17"/>
      <c r="B25" s="55" t="s">
        <v>46</v>
      </c>
      <c r="C25" s="46">
        <f>1500000+112900</f>
        <v>1612900</v>
      </c>
      <c r="D25" s="46">
        <v>2500000</v>
      </c>
      <c r="E25" s="46">
        <f>2500000+50000</f>
        <v>2550000</v>
      </c>
      <c r="F25" s="46"/>
      <c r="G25" s="46"/>
      <c r="H25" s="47"/>
      <c r="I25" s="46">
        <f>SUM(C25:G25)</f>
        <v>6662900</v>
      </c>
    </row>
    <row r="26" spans="1:9" x14ac:dyDescent="0.3">
      <c r="A26" s="17"/>
      <c r="B26" s="55" t="s">
        <v>47</v>
      </c>
      <c r="C26" s="46"/>
      <c r="D26" s="46"/>
      <c r="E26" s="46"/>
      <c r="F26" s="46">
        <v>626995</v>
      </c>
      <c r="G26" s="46">
        <v>626995</v>
      </c>
      <c r="H26" s="47"/>
      <c r="I26" s="46">
        <f>SUM(C26:G26)</f>
        <v>1253990</v>
      </c>
    </row>
    <row r="27" spans="1:9" x14ac:dyDescent="0.3">
      <c r="A27" s="17"/>
      <c r="B27" s="55" t="s">
        <v>48</v>
      </c>
      <c r="C27" s="46"/>
      <c r="D27" s="46"/>
      <c r="E27" s="46"/>
      <c r="F27" s="46">
        <f>(74549942.76-SUM(C25:G26))/2</f>
        <v>33316526.380000003</v>
      </c>
      <c r="G27" s="46">
        <f>F27</f>
        <v>33316526.380000003</v>
      </c>
      <c r="H27" s="43"/>
      <c r="I27" s="46">
        <f>SUM(C27:G27)</f>
        <v>66633052.760000005</v>
      </c>
    </row>
    <row r="28" spans="1:9" x14ac:dyDescent="0.3">
      <c r="A28" s="17"/>
      <c r="B28" s="48" t="s">
        <v>38</v>
      </c>
      <c r="C28" s="49">
        <f>SUM(C24:C27)</f>
        <v>1761999.8</v>
      </c>
      <c r="D28" s="49">
        <f>SUM(D24:D27)</f>
        <v>2649099.7999999998</v>
      </c>
      <c r="E28" s="49">
        <f>SUM(E24:E27)</f>
        <v>2699099.8</v>
      </c>
      <c r="F28" s="49">
        <f>SUM(F24:F27)</f>
        <v>34092621.18</v>
      </c>
      <c r="G28" s="49">
        <f>SUM(G24:G27)</f>
        <v>34092621.18</v>
      </c>
      <c r="H28" s="43"/>
      <c r="I28" s="49">
        <f>SUM(C28:G28)</f>
        <v>75295441.75999999</v>
      </c>
    </row>
    <row r="29" spans="1:9" x14ac:dyDescent="0.3">
      <c r="A29" s="17"/>
      <c r="B29" s="50" t="s">
        <v>39</v>
      </c>
      <c r="C29" s="56" t="s">
        <v>30</v>
      </c>
      <c r="D29" s="42"/>
      <c r="E29" s="42"/>
      <c r="F29" s="42"/>
      <c r="G29" s="42"/>
      <c r="H29" s="43"/>
      <c r="I29" s="46"/>
    </row>
    <row r="30" spans="1:9" x14ac:dyDescent="0.3">
      <c r="A30" s="18"/>
      <c r="B30" s="48" t="s">
        <v>17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3"/>
      <c r="I30" s="49">
        <f t="shared" ref="I30:I31" si="8">SUM(C30:G30)</f>
        <v>0</v>
      </c>
    </row>
    <row r="31" spans="1:9" x14ac:dyDescent="0.3">
      <c r="A31" s="18"/>
      <c r="B31" s="48" t="s">
        <v>18</v>
      </c>
      <c r="C31" s="49">
        <f>SUM(C30,C28,C22,C20,C18,C14,C9)</f>
        <v>1815270.1165830495</v>
      </c>
      <c r="D31" s="49">
        <f>SUM(D30,D28,D22,D20,D18,D14,D9)</f>
        <v>2704298.2059549135</v>
      </c>
      <c r="E31" s="49">
        <f>SUM(E30,E28,E22,E20,E18,E14,E9)</f>
        <v>2756298.5986782229</v>
      </c>
      <c r="F31" s="49">
        <f>SUM(F30,F28,F22,F20,F18,F14,F9)</f>
        <v>34176947.574704066</v>
      </c>
      <c r="G31" s="49">
        <f>SUM(G30,G28,G22,G20,G18,G14,G9)</f>
        <v>34180005.793255471</v>
      </c>
      <c r="H31" s="43"/>
      <c r="I31" s="49">
        <f t="shared" si="8"/>
        <v>75632820.289175719</v>
      </c>
    </row>
    <row r="32" spans="1:9" x14ac:dyDescent="0.3">
      <c r="A32" s="6"/>
      <c r="C32"/>
      <c r="D32"/>
      <c r="G32"/>
      <c r="H32"/>
      <c r="I32" t="s">
        <v>19</v>
      </c>
    </row>
    <row r="33" spans="1:9" ht="28.8" x14ac:dyDescent="0.3">
      <c r="A33" s="40" t="s">
        <v>37</v>
      </c>
      <c r="B33" s="13" t="s">
        <v>37</v>
      </c>
      <c r="C33" s="44"/>
      <c r="D33" s="44"/>
      <c r="E33" s="44"/>
      <c r="F33" s="44"/>
      <c r="G33" s="44"/>
      <c r="H33" s="43"/>
      <c r="I33" s="44" t="s">
        <v>19</v>
      </c>
    </row>
    <row r="34" spans="1:9" s="1" customFormat="1" x14ac:dyDescent="0.3">
      <c r="A34" s="17"/>
      <c r="B34" s="42" t="s">
        <v>53</v>
      </c>
      <c r="C34" s="46">
        <f>0.05*C28</f>
        <v>88099.99</v>
      </c>
      <c r="D34" s="46">
        <f>0.05*D28</f>
        <v>132454.99</v>
      </c>
      <c r="E34" s="46">
        <f>0.05*E28</f>
        <v>134954.99</v>
      </c>
      <c r="F34" s="46">
        <f>0.05*F28</f>
        <v>1704631.0590000001</v>
      </c>
      <c r="G34" s="46">
        <f>0.05*G28</f>
        <v>1704631.0590000001</v>
      </c>
      <c r="H34" s="43"/>
      <c r="I34" s="46">
        <f>SUM(C34:G34)</f>
        <v>3764772.0880000005</v>
      </c>
    </row>
    <row r="35" spans="1:9" x14ac:dyDescent="0.3">
      <c r="A35" s="17"/>
      <c r="B35" s="42" t="s">
        <v>52</v>
      </c>
      <c r="C35" s="46">
        <f t="shared" ref="C35:H35" si="9">0.331*(C31-C28)</f>
        <v>17632.474788989381</v>
      </c>
      <c r="D35" s="46">
        <f t="shared" si="9"/>
        <v>18270.672371076435</v>
      </c>
      <c r="E35" s="46">
        <f t="shared" si="9"/>
        <v>18932.802362491828</v>
      </c>
      <c r="F35" s="46">
        <f t="shared" si="9"/>
        <v>27912.036647045919</v>
      </c>
      <c r="G35" s="46">
        <f t="shared" si="9"/>
        <v>28924.3069875609</v>
      </c>
      <c r="H35" s="46">
        <f t="shared" si="9"/>
        <v>0</v>
      </c>
      <c r="I35" s="46">
        <f>SUM(C35:G35)</f>
        <v>111672.29315716447</v>
      </c>
    </row>
    <row r="36" spans="1:9" x14ac:dyDescent="0.3">
      <c r="A36" s="18"/>
      <c r="B36" s="8" t="s">
        <v>20</v>
      </c>
      <c r="C36" s="49">
        <f>SUM(C34:C35)</f>
        <v>105732.46478898938</v>
      </c>
      <c r="D36" s="49">
        <f>SUM(D34:D35)</f>
        <v>150725.66237107641</v>
      </c>
      <c r="E36" s="49">
        <f>SUM(E34:E35)</f>
        <v>153887.79236249183</v>
      </c>
      <c r="F36" s="49">
        <f>SUM(F34:F35)</f>
        <v>1732543.0956470461</v>
      </c>
      <c r="G36" s="49">
        <f>SUM(G34:G35)</f>
        <v>1733555.3659875609</v>
      </c>
      <c r="H36" s="43"/>
      <c r="I36" s="49">
        <f>SUM(C36:G36)</f>
        <v>3876444.3811571645</v>
      </c>
    </row>
    <row r="37" spans="1:9" ht="15" thickBot="1" x14ac:dyDescent="0.35">
      <c r="A37" s="6"/>
      <c r="C37"/>
      <c r="D37"/>
      <c r="G37"/>
      <c r="H37"/>
      <c r="I37" t="s">
        <v>19</v>
      </c>
    </row>
    <row r="38" spans="1:9" ht="29.4" thickBot="1" x14ac:dyDescent="0.35">
      <c r="A38" s="14" t="s">
        <v>21</v>
      </c>
      <c r="B38" s="14"/>
      <c r="C38" s="59">
        <f t="shared" ref="C38:I38" si="10">SUM(C36,C31)</f>
        <v>1921002.5813720389</v>
      </c>
      <c r="D38" s="59">
        <f t="shared" si="10"/>
        <v>2855023.8683259897</v>
      </c>
      <c r="E38" s="59">
        <f t="shared" si="10"/>
        <v>2910186.3910407145</v>
      </c>
      <c r="F38" s="59">
        <f t="shared" si="10"/>
        <v>35909490.67035111</v>
      </c>
      <c r="G38" s="59">
        <f t="shared" si="10"/>
        <v>35913561.159243032</v>
      </c>
      <c r="H38" s="43"/>
      <c r="I38" s="59">
        <f t="shared" si="10"/>
        <v>79509264.670332879</v>
      </c>
    </row>
    <row r="39" spans="1:9" x14ac:dyDescent="0.3">
      <c r="A39" s="6"/>
    </row>
    <row r="40" spans="1:9" x14ac:dyDescent="0.3">
      <c r="A40" s="6"/>
    </row>
    <row r="41" spans="1:9" x14ac:dyDescent="0.3">
      <c r="A41" s="6"/>
    </row>
    <row r="42" spans="1:9" x14ac:dyDescent="0.3">
      <c r="A42" s="6"/>
    </row>
    <row r="43" spans="1:9" x14ac:dyDescent="0.3">
      <c r="A43" s="6"/>
    </row>
    <row r="44" spans="1:9" x14ac:dyDescent="0.3">
      <c r="A44" s="6"/>
    </row>
    <row r="45" spans="1:9" x14ac:dyDescent="0.3">
      <c r="A45" s="6"/>
    </row>
    <row r="46" spans="1:9" x14ac:dyDescent="0.3">
      <c r="A46" s="6"/>
    </row>
    <row r="47" spans="1:9" x14ac:dyDescent="0.3">
      <c r="A47" s="6"/>
    </row>
    <row r="48" spans="1:9" x14ac:dyDescent="0.3">
      <c r="A48" s="6"/>
    </row>
    <row r="49" spans="1:1" x14ac:dyDescent="0.3">
      <c r="A49" s="6"/>
    </row>
  </sheetData>
  <pageMargins left="0.7" right="0.7" top="0.75" bottom="0.75" header="0.3" footer="0.3"/>
  <pageSetup scale="97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A2:AL54"/>
  <sheetViews>
    <sheetView showGridLines="0" zoomScale="85" zoomScaleNormal="85" workbookViewId="0">
      <pane xSplit="2" ySplit="4" topLeftCell="C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B9" sqref="B9"/>
    </sheetView>
  </sheetViews>
  <sheetFormatPr defaultColWidth="9.21875" defaultRowHeight="14.4" x14ac:dyDescent="0.3"/>
  <cols>
    <col min="1" max="1" width="14.88671875" customWidth="1"/>
    <col min="2" max="2" width="44.44140625" customWidth="1"/>
    <col min="3" max="3" width="12.77734375" style="6" customWidth="1"/>
    <col min="4" max="4" width="12.44140625" style="2" customWidth="1"/>
    <col min="5" max="6" width="12.77734375" customWidth="1"/>
    <col min="7" max="7" width="13.44140625" style="2" customWidth="1"/>
    <col min="8" max="8" width="0.77734375" style="7" customWidth="1"/>
    <col min="9" max="9" width="14.44140625" customWidth="1"/>
    <col min="10" max="10" width="10.21875" customWidth="1"/>
  </cols>
  <sheetData>
    <row r="2" spans="1:38" ht="23.4" x14ac:dyDescent="0.45">
      <c r="A2" s="20" t="s">
        <v>28</v>
      </c>
    </row>
    <row r="3" spans="1:38" ht="18" x14ac:dyDescent="0.35">
      <c r="A3" s="25" t="s">
        <v>1</v>
      </c>
      <c r="B3" s="26"/>
      <c r="C3" s="26"/>
      <c r="D3" s="26"/>
      <c r="E3" s="26"/>
      <c r="F3" s="26"/>
      <c r="G3" s="26"/>
      <c r="H3" s="26"/>
      <c r="I3" s="27"/>
    </row>
    <row r="4" spans="1:38" x14ac:dyDescent="0.3">
      <c r="A4" s="85" t="s">
        <v>2</v>
      </c>
      <c r="B4" s="85" t="s">
        <v>3</v>
      </c>
      <c r="C4" s="85" t="s">
        <v>4</v>
      </c>
      <c r="D4" s="86" t="s">
        <v>5</v>
      </c>
      <c r="E4" s="86" t="s">
        <v>6</v>
      </c>
      <c r="F4" s="86" t="s">
        <v>7</v>
      </c>
      <c r="G4" s="87" t="s">
        <v>8</v>
      </c>
      <c r="H4" s="88"/>
      <c r="I4" s="89" t="s">
        <v>9</v>
      </c>
    </row>
    <row r="5" spans="1:38" s="5" customFormat="1" x14ac:dyDescent="0.3">
      <c r="A5" s="74" t="s">
        <v>10</v>
      </c>
      <c r="B5" s="95" t="s">
        <v>40</v>
      </c>
      <c r="C5" s="46">
        <f>0.75*'Combined Measures'!C6</f>
        <v>14317.500000000004</v>
      </c>
      <c r="D5" s="46">
        <f>0.75*'Combined Measures'!D6</f>
        <v>14854.406250000005</v>
      </c>
      <c r="E5" s="46">
        <f>0.75*'Combined Measures'!E6</f>
        <v>15411.446484375007</v>
      </c>
      <c r="F5" s="60"/>
      <c r="G5" s="60"/>
      <c r="H5" s="47">
        <v>450000</v>
      </c>
      <c r="I5" s="46">
        <f>SUM(C5:G5)</f>
        <v>44583.352734375017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1:38" x14ac:dyDescent="0.3">
      <c r="A6" s="78"/>
      <c r="B6" s="95" t="s">
        <v>41</v>
      </c>
      <c r="C6" s="46">
        <f>0.66666*'Combined Measures'!C7</f>
        <v>8590.4140950000019</v>
      </c>
      <c r="D6" s="46">
        <f>0.66666*'Combined Measures'!D7</f>
        <v>8912.5546235625006</v>
      </c>
      <c r="E6" s="46">
        <f>0.66666*'Combined Measures'!E7</f>
        <v>9246.7754219460967</v>
      </c>
      <c r="F6" s="46"/>
      <c r="G6" s="46"/>
      <c r="H6" s="43"/>
      <c r="I6" s="46">
        <f>SUM(C6:G6)</f>
        <v>26749.744140508599</v>
      </c>
    </row>
    <row r="7" spans="1:38" x14ac:dyDescent="0.3">
      <c r="A7" s="78"/>
      <c r="B7" s="95" t="s">
        <v>42</v>
      </c>
      <c r="C7" s="46">
        <f>5/7*'Combined Measures'!C8</f>
        <v>59656.25</v>
      </c>
      <c r="D7" s="46">
        <f>5/7*'Combined Measures'!D8</f>
        <v>61893.359375</v>
      </c>
      <c r="E7" s="46">
        <f>5/7*'Combined Measures'!E8</f>
        <v>64214.3603515625</v>
      </c>
      <c r="F7" s="46"/>
      <c r="G7" s="46"/>
      <c r="H7" s="46">
        <f t="shared" ref="H7" si="0">1.0375*G7</f>
        <v>0</v>
      </c>
      <c r="I7" s="46">
        <f>SUM(C7:G7)</f>
        <v>185763.9697265625</v>
      </c>
    </row>
    <row r="8" spans="1:38" x14ac:dyDescent="0.3">
      <c r="A8" s="78"/>
      <c r="B8" s="55"/>
      <c r="C8" s="58"/>
      <c r="D8" s="46"/>
      <c r="E8" s="46"/>
      <c r="F8" s="46"/>
      <c r="G8" s="46"/>
      <c r="H8" s="43"/>
      <c r="I8" s="58">
        <f>SUM(C8:G8)</f>
        <v>0</v>
      </c>
    </row>
    <row r="9" spans="1:38" x14ac:dyDescent="0.3">
      <c r="A9" s="78"/>
      <c r="B9" s="48" t="s">
        <v>11</v>
      </c>
      <c r="C9" s="62">
        <f>SUM(C5:C8)</f>
        <v>82564.164095000015</v>
      </c>
      <c r="D9" s="62">
        <f t="shared" ref="D9:E9" si="1">SUM(D5:D8)</f>
        <v>85660.320248562508</v>
      </c>
      <c r="E9" s="62">
        <f t="shared" si="1"/>
        <v>88872.582257883594</v>
      </c>
      <c r="F9" s="62">
        <f t="shared" ref="F9:I9" si="2">SUM(F6:F8)</f>
        <v>0</v>
      </c>
      <c r="G9" s="62">
        <f t="shared" si="2"/>
        <v>0</v>
      </c>
      <c r="H9" s="43">
        <f t="shared" si="2"/>
        <v>0</v>
      </c>
      <c r="I9" s="62">
        <f t="shared" si="2"/>
        <v>212513.71386707108</v>
      </c>
    </row>
    <row r="10" spans="1:38" x14ac:dyDescent="0.3">
      <c r="A10" s="78"/>
      <c r="B10" s="50" t="s">
        <v>31</v>
      </c>
      <c r="C10" s="42" t="s">
        <v>30</v>
      </c>
      <c r="D10" s="42"/>
      <c r="E10" s="42"/>
      <c r="F10" s="42"/>
      <c r="G10" s="42"/>
      <c r="H10" s="43"/>
      <c r="I10" s="44" t="s">
        <v>30</v>
      </c>
    </row>
    <row r="11" spans="1:38" x14ac:dyDescent="0.3">
      <c r="A11" s="78"/>
      <c r="B11" s="45" t="s">
        <v>40</v>
      </c>
      <c r="C11" s="46">
        <f>0.561352352*C5</f>
        <v>8037.1622997600016</v>
      </c>
      <c r="D11" s="46">
        <f t="shared" ref="D11:E11" si="3">0.561352352*D5</f>
        <v>8338.5558860010024</v>
      </c>
      <c r="E11" s="46">
        <f t="shared" si="3"/>
        <v>8651.2517317260408</v>
      </c>
      <c r="F11" s="46">
        <f t="shared" ref="F11:G11" si="4">0.561352*F6</f>
        <v>0</v>
      </c>
      <c r="G11" s="46">
        <f t="shared" si="4"/>
        <v>0</v>
      </c>
      <c r="H11" s="43"/>
      <c r="I11" s="46">
        <f>SUM(C11:G11)</f>
        <v>25026.969917487047</v>
      </c>
    </row>
    <row r="12" spans="1:38" x14ac:dyDescent="0.3">
      <c r="A12" s="78"/>
      <c r="B12" s="45" t="s">
        <v>41</v>
      </c>
      <c r="C12" s="46">
        <f t="shared" ref="C12:E13" si="5">0.561352352*C6</f>
        <v>4822.2491568822024</v>
      </c>
      <c r="D12" s="46">
        <f t="shared" si="5"/>
        <v>5003.0835002652848</v>
      </c>
      <c r="E12" s="46">
        <f t="shared" si="5"/>
        <v>5190.6991315252335</v>
      </c>
      <c r="F12" s="46">
        <f t="shared" ref="F12:G13" si="6">0.561352*F7</f>
        <v>0</v>
      </c>
      <c r="G12" s="46">
        <f t="shared" si="6"/>
        <v>0</v>
      </c>
      <c r="H12" s="43"/>
      <c r="I12" s="46">
        <f>SUM(C12:G12)</f>
        <v>15016.031788672721</v>
      </c>
    </row>
    <row r="13" spans="1:38" x14ac:dyDescent="0.3">
      <c r="A13" s="78"/>
      <c r="B13" s="45" t="s">
        <v>42</v>
      </c>
      <c r="C13" s="46">
        <f t="shared" si="5"/>
        <v>33488.176248999996</v>
      </c>
      <c r="D13" s="46">
        <f t="shared" si="5"/>
        <v>34743.982858337498</v>
      </c>
      <c r="E13" s="46">
        <f t="shared" si="5"/>
        <v>36046.882215525155</v>
      </c>
      <c r="F13" s="46">
        <f t="shared" si="6"/>
        <v>0</v>
      </c>
      <c r="G13" s="46">
        <f t="shared" si="6"/>
        <v>0</v>
      </c>
      <c r="H13" s="43"/>
      <c r="I13" s="46">
        <f>SUM(C13:G13)</f>
        <v>104279.04132286266</v>
      </c>
    </row>
    <row r="14" spans="1:38" x14ac:dyDescent="0.3">
      <c r="A14" s="78"/>
      <c r="B14" s="48" t="s">
        <v>12</v>
      </c>
      <c r="C14" s="62">
        <f>SUM(C11:C13)</f>
        <v>46347.587705642203</v>
      </c>
      <c r="D14" s="62">
        <f t="shared" ref="D14:I14" si="7">SUM(D11:D13)</f>
        <v>48085.622244603786</v>
      </c>
      <c r="E14" s="62">
        <f t="shared" si="7"/>
        <v>49888.833078776428</v>
      </c>
      <c r="F14" s="62">
        <f t="shared" si="7"/>
        <v>0</v>
      </c>
      <c r="G14" s="62">
        <f t="shared" si="7"/>
        <v>0</v>
      </c>
      <c r="H14" s="43">
        <f t="shared" si="7"/>
        <v>0</v>
      </c>
      <c r="I14" s="62">
        <f t="shared" si="7"/>
        <v>144322.04302902243</v>
      </c>
    </row>
    <row r="15" spans="1:38" x14ac:dyDescent="0.3">
      <c r="A15" s="78"/>
      <c r="B15" s="50" t="s">
        <v>32</v>
      </c>
      <c r="C15" s="56" t="s">
        <v>30</v>
      </c>
      <c r="D15" s="42"/>
      <c r="E15" s="42"/>
      <c r="F15" s="42"/>
      <c r="G15" s="42"/>
      <c r="H15" s="43"/>
      <c r="I15" s="44" t="s">
        <v>30</v>
      </c>
    </row>
    <row r="16" spans="1:38" x14ac:dyDescent="0.3">
      <c r="A16" s="78"/>
      <c r="B16" s="51" t="s">
        <v>43</v>
      </c>
      <c r="C16" s="52">
        <f>314*2*2*2</f>
        <v>2512</v>
      </c>
      <c r="D16" s="52">
        <v>1256</v>
      </c>
      <c r="E16" s="52">
        <f t="shared" ref="E16" si="8">D16</f>
        <v>1256</v>
      </c>
      <c r="F16" s="42"/>
      <c r="G16" s="42"/>
      <c r="H16" s="43"/>
      <c r="I16" s="58">
        <f>SUM(C16:G16)</f>
        <v>5024</v>
      </c>
    </row>
    <row r="17" spans="1:9" x14ac:dyDescent="0.3">
      <c r="A17" s="78"/>
      <c r="B17" s="51" t="s">
        <v>44</v>
      </c>
      <c r="C17" s="52">
        <f>0.65*211*2*2*1.3</f>
        <v>713.18000000000006</v>
      </c>
      <c r="D17" s="52">
        <f>0.65*211*2*2+50</f>
        <v>598.6</v>
      </c>
      <c r="E17" s="52">
        <f>0.65*211*2*2+50</f>
        <v>598.6</v>
      </c>
      <c r="F17" s="46"/>
      <c r="G17" s="46"/>
      <c r="H17" s="43"/>
      <c r="I17" s="58">
        <f>SUM(C17:G17)</f>
        <v>1910.38</v>
      </c>
    </row>
    <row r="18" spans="1:9" x14ac:dyDescent="0.3">
      <c r="A18" s="78"/>
      <c r="B18" s="48" t="s">
        <v>13</v>
      </c>
      <c r="C18" s="61">
        <f t="shared" ref="C18:I18" si="9">SUM(C16:C17)</f>
        <v>3225.1800000000003</v>
      </c>
      <c r="D18" s="61">
        <f t="shared" si="9"/>
        <v>1854.6</v>
      </c>
      <c r="E18" s="61">
        <f t="shared" si="9"/>
        <v>1854.6</v>
      </c>
      <c r="F18" s="61">
        <f t="shared" si="9"/>
        <v>0</v>
      </c>
      <c r="G18" s="61">
        <f t="shared" si="9"/>
        <v>0</v>
      </c>
      <c r="H18" s="61">
        <f t="shared" si="9"/>
        <v>0</v>
      </c>
      <c r="I18" s="62">
        <f t="shared" si="9"/>
        <v>6934.38</v>
      </c>
    </row>
    <row r="19" spans="1:9" x14ac:dyDescent="0.3">
      <c r="A19" s="78"/>
      <c r="B19" s="50" t="s">
        <v>33</v>
      </c>
      <c r="C19" s="58"/>
      <c r="D19" s="42"/>
      <c r="E19" s="42"/>
      <c r="F19" s="42"/>
      <c r="G19" s="42"/>
      <c r="H19" s="43"/>
      <c r="I19" s="58" t="s">
        <v>19</v>
      </c>
    </row>
    <row r="20" spans="1:9" x14ac:dyDescent="0.3">
      <c r="A20" s="78"/>
      <c r="B20" s="48" t="s">
        <v>14</v>
      </c>
      <c r="C20" s="54">
        <v>0</v>
      </c>
      <c r="D20" s="54">
        <v>0</v>
      </c>
      <c r="E20" s="54">
        <v>0</v>
      </c>
      <c r="F20" s="54">
        <v>0</v>
      </c>
      <c r="G20" s="54">
        <v>0</v>
      </c>
      <c r="H20" s="43"/>
      <c r="I20" s="62">
        <v>0</v>
      </c>
    </row>
    <row r="21" spans="1:9" x14ac:dyDescent="0.3">
      <c r="A21" s="78"/>
      <c r="B21" s="50" t="s">
        <v>34</v>
      </c>
      <c r="C21" s="56" t="s">
        <v>30</v>
      </c>
      <c r="D21" s="42"/>
      <c r="E21" s="42"/>
      <c r="F21" s="42"/>
      <c r="G21" s="42"/>
      <c r="H21" s="43"/>
      <c r="I21" s="58"/>
    </row>
    <row r="22" spans="1:9" x14ac:dyDescent="0.3">
      <c r="A22" s="78"/>
      <c r="B22" s="48" t="s">
        <v>15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43"/>
      <c r="I22" s="62">
        <v>0</v>
      </c>
    </row>
    <row r="23" spans="1:9" x14ac:dyDescent="0.3">
      <c r="A23" s="78"/>
      <c r="B23" s="50" t="s">
        <v>35</v>
      </c>
      <c r="C23" s="56" t="s">
        <v>30</v>
      </c>
      <c r="D23" s="42"/>
      <c r="E23" s="42"/>
      <c r="F23" s="42"/>
      <c r="G23" s="42"/>
      <c r="H23" s="43"/>
      <c r="I23" s="58"/>
    </row>
    <row r="24" spans="1:9" x14ac:dyDescent="0.3">
      <c r="A24" s="78"/>
      <c r="B24" s="55" t="s">
        <v>46</v>
      </c>
      <c r="C24" s="46">
        <v>424321</v>
      </c>
      <c r="D24" s="46"/>
      <c r="E24" s="46"/>
      <c r="F24" s="46"/>
      <c r="G24" s="46"/>
      <c r="H24" s="47"/>
      <c r="I24" s="58">
        <f t="shared" ref="I24:I32" si="10">SUM(C24:G24)</f>
        <v>424321</v>
      </c>
    </row>
    <row r="25" spans="1:9" x14ac:dyDescent="0.3">
      <c r="A25" s="78"/>
      <c r="B25" s="55" t="s">
        <v>49</v>
      </c>
      <c r="C25" s="46"/>
      <c r="D25" s="46">
        <f>282894/2</f>
        <v>141447</v>
      </c>
      <c r="E25" s="46">
        <f>D25</f>
        <v>141447</v>
      </c>
      <c r="F25" s="46"/>
      <c r="G25" s="46"/>
      <c r="H25" s="47"/>
      <c r="I25" s="58">
        <f t="shared" si="10"/>
        <v>282894</v>
      </c>
    </row>
    <row r="26" spans="1:9" x14ac:dyDescent="0.3">
      <c r="A26" s="78"/>
      <c r="B26" s="55" t="s">
        <v>48</v>
      </c>
      <c r="C26" s="46"/>
      <c r="D26" s="46">
        <f>14094692/2</f>
        <v>7047346</v>
      </c>
      <c r="E26" s="46">
        <f>D26+50000+19</f>
        <v>7097365</v>
      </c>
      <c r="F26" s="46"/>
      <c r="G26" s="46"/>
      <c r="H26" s="47"/>
      <c r="I26" s="58">
        <f t="shared" si="10"/>
        <v>14144711</v>
      </c>
    </row>
    <row r="27" spans="1:9" hidden="1" x14ac:dyDescent="0.3">
      <c r="A27" s="78"/>
      <c r="B27" s="90"/>
      <c r="C27" s="58"/>
      <c r="D27" s="58"/>
      <c r="E27" s="58"/>
      <c r="F27" s="58"/>
      <c r="G27" s="58"/>
      <c r="H27" s="47"/>
      <c r="I27" s="58">
        <f t="shared" si="10"/>
        <v>0</v>
      </c>
    </row>
    <row r="28" spans="1:9" hidden="1" x14ac:dyDescent="0.3">
      <c r="A28" s="78"/>
      <c r="B28" s="57"/>
      <c r="C28" s="58"/>
      <c r="D28" s="46"/>
      <c r="E28" s="46"/>
      <c r="F28" s="46"/>
      <c r="G28" s="46"/>
      <c r="H28" s="43"/>
      <c r="I28" s="58">
        <f t="shared" si="10"/>
        <v>0</v>
      </c>
    </row>
    <row r="29" spans="1:9" x14ac:dyDescent="0.3">
      <c r="A29" s="78"/>
      <c r="B29" s="48" t="s">
        <v>16</v>
      </c>
      <c r="C29" s="62">
        <f>SUM(C24:C28)</f>
        <v>424321</v>
      </c>
      <c r="D29" s="62">
        <f t="shared" ref="D29:G29" si="11">SUM(D24:D28)</f>
        <v>7188793</v>
      </c>
      <c r="E29" s="62">
        <f t="shared" si="11"/>
        <v>7238812</v>
      </c>
      <c r="F29" s="62">
        <f t="shared" si="11"/>
        <v>0</v>
      </c>
      <c r="G29" s="62">
        <f t="shared" si="11"/>
        <v>0</v>
      </c>
      <c r="H29" s="43"/>
      <c r="I29" s="62">
        <f>SUM(I24:I28)</f>
        <v>14851926</v>
      </c>
    </row>
    <row r="30" spans="1:9" x14ac:dyDescent="0.3">
      <c r="A30" s="78"/>
      <c r="B30" s="50" t="s">
        <v>36</v>
      </c>
      <c r="C30" s="56" t="s">
        <v>30</v>
      </c>
      <c r="D30" s="42"/>
      <c r="E30" s="42"/>
      <c r="F30" s="42"/>
      <c r="G30" s="42"/>
      <c r="H30" s="43"/>
      <c r="I30" s="58"/>
    </row>
    <row r="31" spans="1:9" x14ac:dyDescent="0.3">
      <c r="A31" s="79"/>
      <c r="B31" s="48" t="s">
        <v>17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  <c r="H31" s="43"/>
      <c r="I31" s="62">
        <v>0</v>
      </c>
    </row>
    <row r="32" spans="1:9" x14ac:dyDescent="0.3">
      <c r="A32" s="79"/>
      <c r="B32" s="48" t="s">
        <v>18</v>
      </c>
      <c r="C32" s="62">
        <f>SUM(C31,C29,C22,C20,C18,C14,C9)</f>
        <v>556457.93180064228</v>
      </c>
      <c r="D32" s="62">
        <f>SUM(D31,D29,D22,D20,D18,D14,D9)</f>
        <v>7324393.5424931664</v>
      </c>
      <c r="E32" s="62">
        <f>SUM(E31,E29,E22,E20,E18,E14,E9)</f>
        <v>7379428.0153366597</v>
      </c>
      <c r="F32" s="62">
        <f>SUM(F31,F29,F22,F20,F18,F14,F9)</f>
        <v>0</v>
      </c>
      <c r="G32" s="62">
        <f>SUM(G31,G29,G22,G20,G18,G14,G9)</f>
        <v>0</v>
      </c>
      <c r="H32" s="43"/>
      <c r="I32" s="62">
        <f t="shared" si="10"/>
        <v>15260279.489630468</v>
      </c>
    </row>
    <row r="33" spans="1:9" x14ac:dyDescent="0.3">
      <c r="A33" s="91"/>
      <c r="B33" s="43"/>
      <c r="C33" s="43"/>
      <c r="D33" s="43"/>
      <c r="E33" s="43"/>
      <c r="F33" s="43"/>
      <c r="G33" s="43"/>
      <c r="H33" s="43"/>
      <c r="I33" s="43" t="s">
        <v>19</v>
      </c>
    </row>
    <row r="34" spans="1:9" x14ac:dyDescent="0.3">
      <c r="A34" s="74" t="s">
        <v>37</v>
      </c>
      <c r="B34" s="63" t="s">
        <v>37</v>
      </c>
      <c r="C34" s="44"/>
      <c r="D34" s="44"/>
      <c r="E34" s="44"/>
      <c r="F34" s="44"/>
      <c r="G34" s="44"/>
      <c r="H34" s="43"/>
      <c r="I34" s="44" t="s">
        <v>19</v>
      </c>
    </row>
    <row r="35" spans="1:9" x14ac:dyDescent="0.3">
      <c r="A35" s="78"/>
      <c r="B35" s="57"/>
      <c r="C35" s="46">
        <f>0.05*C29</f>
        <v>21216.050000000003</v>
      </c>
      <c r="D35" s="46">
        <f>0.05*D29</f>
        <v>359439.65</v>
      </c>
      <c r="E35" s="46">
        <f>0.05*E29</f>
        <v>361940.60000000003</v>
      </c>
      <c r="F35" s="42"/>
      <c r="G35" s="42"/>
      <c r="H35" s="43"/>
      <c r="I35" s="58">
        <f>SUM(C35:G35)</f>
        <v>742596.3</v>
      </c>
    </row>
    <row r="36" spans="1:9" x14ac:dyDescent="0.3">
      <c r="A36" s="78"/>
      <c r="B36" s="57"/>
      <c r="C36" s="58">
        <f>0.331*(C32-C29)</f>
        <v>43737.324426012601</v>
      </c>
      <c r="D36" s="58">
        <f>0.331*(D32-D29)</f>
        <v>44883.779565238081</v>
      </c>
      <c r="E36" s="58">
        <f>0.331*(E32-E29)</f>
        <v>46543.901076434377</v>
      </c>
      <c r="F36" s="42"/>
      <c r="G36" s="42"/>
      <c r="H36" s="43"/>
      <c r="I36" s="58">
        <f t="shared" ref="I36:I37" si="12">SUM(C36:G36)</f>
        <v>135165.00506768507</v>
      </c>
    </row>
    <row r="37" spans="1:9" x14ac:dyDescent="0.3">
      <c r="A37" s="79"/>
      <c r="B37" s="48" t="s">
        <v>20</v>
      </c>
      <c r="C37" s="62">
        <f>SUM(C35:C36)</f>
        <v>64953.374426012604</v>
      </c>
      <c r="D37" s="62">
        <f t="shared" ref="D37:G37" si="13">SUM(D35:D36)</f>
        <v>404323.42956523813</v>
      </c>
      <c r="E37" s="62">
        <f t="shared" si="13"/>
        <v>408484.50107643439</v>
      </c>
      <c r="F37" s="62">
        <f t="shared" si="13"/>
        <v>0</v>
      </c>
      <c r="G37" s="62">
        <f t="shared" si="13"/>
        <v>0</v>
      </c>
      <c r="H37" s="43"/>
      <c r="I37" s="62">
        <f t="shared" si="12"/>
        <v>877761.3050676852</v>
      </c>
    </row>
    <row r="38" spans="1:9" ht="15" thickBot="1" x14ac:dyDescent="0.35">
      <c r="A38" s="91"/>
      <c r="B38" s="43"/>
      <c r="C38" s="43"/>
      <c r="D38" s="43"/>
      <c r="E38" s="43"/>
      <c r="F38" s="43"/>
      <c r="G38" s="43"/>
      <c r="H38" s="43"/>
      <c r="I38" s="43" t="s">
        <v>19</v>
      </c>
    </row>
    <row r="39" spans="1:9" s="1" customFormat="1" ht="29.4" thickBot="1" x14ac:dyDescent="0.35">
      <c r="A39" s="64" t="s">
        <v>21</v>
      </c>
      <c r="B39" s="64"/>
      <c r="C39" s="65">
        <f>SUM(C37,C32)</f>
        <v>621411.30622665491</v>
      </c>
      <c r="D39" s="65">
        <f t="shared" ref="D39:I39" si="14">SUM(D37,D32)</f>
        <v>7728716.9720584042</v>
      </c>
      <c r="E39" s="65">
        <f t="shared" si="14"/>
        <v>7787912.5164130945</v>
      </c>
      <c r="F39" s="65">
        <f t="shared" si="14"/>
        <v>0</v>
      </c>
      <c r="G39" s="65">
        <f t="shared" si="14"/>
        <v>0</v>
      </c>
      <c r="H39" s="43">
        <f>SUM(H37,H32)</f>
        <v>0</v>
      </c>
      <c r="I39" s="65">
        <f t="shared" si="14"/>
        <v>16138040.794698153</v>
      </c>
    </row>
    <row r="40" spans="1:9" x14ac:dyDescent="0.3">
      <c r="A40" s="6"/>
    </row>
    <row r="41" spans="1:9" x14ac:dyDescent="0.3">
      <c r="A41" s="6"/>
    </row>
    <row r="42" spans="1:9" x14ac:dyDescent="0.3">
      <c r="A42" s="6"/>
    </row>
    <row r="43" spans="1:9" x14ac:dyDescent="0.3">
      <c r="A43" s="6"/>
    </row>
    <row r="44" spans="1:9" x14ac:dyDescent="0.3">
      <c r="A44" s="6"/>
    </row>
    <row r="45" spans="1:9" x14ac:dyDescent="0.3">
      <c r="A45" s="6"/>
    </row>
    <row r="46" spans="1:9" x14ac:dyDescent="0.3">
      <c r="A46" s="6"/>
    </row>
    <row r="47" spans="1:9" x14ac:dyDescent="0.3">
      <c r="A47" s="6"/>
    </row>
    <row r="48" spans="1:9" x14ac:dyDescent="0.3">
      <c r="A48" s="6"/>
    </row>
    <row r="49" spans="1:1" x14ac:dyDescent="0.3">
      <c r="A49" s="6"/>
    </row>
    <row r="50" spans="1:1" x14ac:dyDescent="0.3">
      <c r="A50" s="6"/>
    </row>
    <row r="51" spans="1:1" x14ac:dyDescent="0.3">
      <c r="A51" s="6"/>
    </row>
    <row r="52" spans="1:1" x14ac:dyDescent="0.3">
      <c r="A52" s="6"/>
    </row>
    <row r="53" spans="1:1" x14ac:dyDescent="0.3">
      <c r="A53" s="6"/>
    </row>
    <row r="54" spans="1:1" x14ac:dyDescent="0.3">
      <c r="A54" s="6"/>
    </row>
  </sheetData>
  <pageMargins left="0.7" right="0.7" top="0.75" bottom="0.75" header="0.3" footer="0.3"/>
  <pageSetup scale="89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Overview</vt:lpstr>
      <vt:lpstr>Consolidated Budget</vt:lpstr>
      <vt:lpstr>Combined Measures</vt:lpstr>
      <vt:lpstr>Measure 1- Intertie Budget</vt:lpstr>
      <vt:lpstr>Measure 2- Solar PV+BESS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2024-04-01T17:36:47Z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