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76991300-E65C-408D-9B04-FB154AA9A9BC}" xr6:coauthVersionLast="47" xr6:coauthVersionMax="47" xr10:uidLastSave="{00000000-0000-0000-0000-000000000000}"/>
  <bookViews>
    <workbookView xWindow="-120" yWindow="-120" windowWidth="29040" windowHeight="15720" tabRatio="979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state="hidden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30" l="1"/>
  <c r="E49" i="16"/>
  <c r="D42" i="16"/>
  <c r="E35" i="29"/>
  <c r="D35" i="29"/>
  <c r="D23" i="29"/>
  <c r="E23" i="29"/>
  <c r="H22" i="28"/>
  <c r="G22" i="28"/>
  <c r="D48" i="16"/>
  <c r="F32" i="16"/>
  <c r="E32" i="16"/>
  <c r="D31" i="16"/>
  <c r="D30" i="16"/>
  <c r="J30" i="16" s="1"/>
  <c r="J40" i="16"/>
  <c r="H49" i="16"/>
  <c r="G49" i="16"/>
  <c r="F49" i="16"/>
  <c r="F35" i="16"/>
  <c r="E35" i="16"/>
  <c r="D35" i="16"/>
  <c r="H32" i="16"/>
  <c r="G32" i="16"/>
  <c r="H33" i="28"/>
  <c r="G33" i="28"/>
  <c r="F33" i="28"/>
  <c r="E33" i="28"/>
  <c r="D33" i="28"/>
  <c r="H29" i="28"/>
  <c r="G29" i="28"/>
  <c r="D12" i="28"/>
  <c r="E12" i="28"/>
  <c r="F12" i="28"/>
  <c r="G12" i="28"/>
  <c r="H12" i="28"/>
  <c r="J8" i="27"/>
  <c r="J9" i="27"/>
  <c r="F32" i="27"/>
  <c r="G32" i="27"/>
  <c r="H32" i="27"/>
  <c r="E32" i="27"/>
  <c r="E38" i="27" s="1"/>
  <c r="J19" i="28"/>
  <c r="J11" i="28"/>
  <c r="J13" i="28"/>
  <c r="J20" i="28"/>
  <c r="I12" i="28"/>
  <c r="J12" i="28"/>
  <c r="F18" i="28"/>
  <c r="E18" i="28"/>
  <c r="D18" i="28"/>
  <c r="J18" i="28" s="1"/>
  <c r="F17" i="28"/>
  <c r="E17" i="28"/>
  <c r="D17" i="28"/>
  <c r="J17" i="28" s="1"/>
  <c r="F16" i="28"/>
  <c r="F22" i="28" s="1"/>
  <c r="E16" i="28"/>
  <c r="E22" i="28" s="1"/>
  <c r="D16" i="28"/>
  <c r="D22" i="28" s="1"/>
  <c r="J22" i="28" s="1"/>
  <c r="J21" i="28"/>
  <c r="F27" i="28"/>
  <c r="F29" i="28" s="1"/>
  <c r="E27" i="28"/>
  <c r="E29" i="28" s="1"/>
  <c r="D27" i="28"/>
  <c r="D29" i="28" s="1"/>
  <c r="J29" i="28" s="1"/>
  <c r="E19" i="29"/>
  <c r="F19" i="29"/>
  <c r="G19" i="29"/>
  <c r="H19" i="29"/>
  <c r="D19" i="29"/>
  <c r="J30" i="29"/>
  <c r="J20" i="29"/>
  <c r="J21" i="29"/>
  <c r="J29" i="29"/>
  <c r="J31" i="29"/>
  <c r="J32" i="29"/>
  <c r="J33" i="29"/>
  <c r="J34" i="29"/>
  <c r="D9" i="16"/>
  <c r="J45" i="16"/>
  <c r="J46" i="16"/>
  <c r="J47" i="16"/>
  <c r="J48" i="16"/>
  <c r="J41" i="16"/>
  <c r="J28" i="16"/>
  <c r="J29" i="16"/>
  <c r="J26" i="16"/>
  <c r="D27" i="16"/>
  <c r="J22" i="16"/>
  <c r="D25" i="16"/>
  <c r="J25" i="16" s="1"/>
  <c r="J50" i="16"/>
  <c r="J43" i="16"/>
  <c r="J27" i="16"/>
  <c r="J31" i="16"/>
  <c r="J34" i="16"/>
  <c r="J38" i="16"/>
  <c r="J42" i="16"/>
  <c r="E16" i="16"/>
  <c r="F16" i="16"/>
  <c r="G16" i="16"/>
  <c r="H16" i="16"/>
  <c r="F11" i="16"/>
  <c r="G11" i="16"/>
  <c r="H11" i="16"/>
  <c r="D8" i="16"/>
  <c r="E19" i="16"/>
  <c r="F19" i="16"/>
  <c r="G19" i="16"/>
  <c r="H19" i="16"/>
  <c r="D19" i="16"/>
  <c r="D24" i="16"/>
  <c r="J24" i="16" s="1"/>
  <c r="D23" i="16"/>
  <c r="J23" i="16" s="1"/>
  <c r="D39" i="16"/>
  <c r="J39" i="16" s="1"/>
  <c r="D44" i="16"/>
  <c r="J44" i="16" s="1"/>
  <c r="D37" i="16"/>
  <c r="D49" i="16" s="1"/>
  <c r="D21" i="16"/>
  <c r="D32" i="16" s="1"/>
  <c r="J18" i="31"/>
  <c r="J19" i="31"/>
  <c r="J18" i="29"/>
  <c r="J32" i="27"/>
  <c r="J35" i="27"/>
  <c r="J36" i="27"/>
  <c r="J18" i="27"/>
  <c r="J10" i="16"/>
  <c r="J18" i="16"/>
  <c r="E54" i="34"/>
  <c r="J54" i="34" s="1"/>
  <c r="F54" i="34"/>
  <c r="F56" i="34" s="1"/>
  <c r="J56" i="34" s="1"/>
  <c r="G54" i="34"/>
  <c r="H54" i="34"/>
  <c r="D54" i="34"/>
  <c r="J8" i="16"/>
  <c r="J9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39" i="28"/>
  <c r="F39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46" i="29"/>
  <c r="H44" i="29"/>
  <c r="G44" i="29"/>
  <c r="F44" i="29"/>
  <c r="E44" i="29"/>
  <c r="D44" i="29"/>
  <c r="J43" i="29"/>
  <c r="J42" i="29"/>
  <c r="H38" i="29"/>
  <c r="G38" i="29"/>
  <c r="F38" i="29"/>
  <c r="E38" i="29"/>
  <c r="D38" i="29"/>
  <c r="J37" i="29"/>
  <c r="H35" i="29"/>
  <c r="G35" i="29"/>
  <c r="F35" i="29"/>
  <c r="J28" i="29"/>
  <c r="H26" i="29"/>
  <c r="G26" i="29"/>
  <c r="F26" i="29"/>
  <c r="E26" i="29"/>
  <c r="D26" i="29"/>
  <c r="J26" i="29" s="1"/>
  <c r="J25" i="29"/>
  <c r="H23" i="29"/>
  <c r="G23" i="29"/>
  <c r="F23" i="29"/>
  <c r="J22" i="29"/>
  <c r="I14" i="29"/>
  <c r="H14" i="29"/>
  <c r="G14" i="29"/>
  <c r="F14" i="29"/>
  <c r="E14" i="29"/>
  <c r="D14" i="29"/>
  <c r="J13" i="29"/>
  <c r="J14" i="29" s="1"/>
  <c r="I11" i="29"/>
  <c r="I41" i="28"/>
  <c r="H39" i="28"/>
  <c r="G39" i="28"/>
  <c r="J38" i="28"/>
  <c r="J28" i="28"/>
  <c r="J24" i="28"/>
  <c r="J16" i="28"/>
  <c r="I10" i="28"/>
  <c r="J8" i="28"/>
  <c r="I51" i="27"/>
  <c r="H49" i="27"/>
  <c r="G49" i="27"/>
  <c r="F49" i="27"/>
  <c r="J48" i="27"/>
  <c r="J47" i="27"/>
  <c r="H43" i="27"/>
  <c r="G43" i="27"/>
  <c r="F43" i="27"/>
  <c r="E43" i="27"/>
  <c r="D43" i="27"/>
  <c r="J42" i="27"/>
  <c r="J41" i="27"/>
  <c r="J40" i="27"/>
  <c r="H38" i="27"/>
  <c r="G38" i="27"/>
  <c r="F38" i="27"/>
  <c r="J37" i="27"/>
  <c r="J29" i="27"/>
  <c r="H23" i="27"/>
  <c r="G23" i="27"/>
  <c r="F23" i="27"/>
  <c r="E23" i="27"/>
  <c r="D23" i="27"/>
  <c r="J22" i="27"/>
  <c r="J23" i="27" s="1"/>
  <c r="I16" i="27"/>
  <c r="I13" i="27"/>
  <c r="H16" i="27"/>
  <c r="G16" i="27"/>
  <c r="F16" i="27"/>
  <c r="E16" i="27"/>
  <c r="J12" i="27"/>
  <c r="E58" i="16"/>
  <c r="F58" i="16"/>
  <c r="G58" i="16"/>
  <c r="H58" i="16"/>
  <c r="D58" i="16"/>
  <c r="J57" i="16"/>
  <c r="J56" i="16"/>
  <c r="J58" i="16" s="1"/>
  <c r="E52" i="16"/>
  <c r="F52" i="16"/>
  <c r="G52" i="16"/>
  <c r="H52" i="16"/>
  <c r="D52" i="16"/>
  <c r="G35" i="16"/>
  <c r="H35" i="16"/>
  <c r="J35" i="16"/>
  <c r="J51" i="16"/>
  <c r="J14" i="16"/>
  <c r="J15" i="16"/>
  <c r="J35" i="29" l="1"/>
  <c r="J34" i="28"/>
  <c r="J43" i="27"/>
  <c r="J21" i="16"/>
  <c r="J32" i="16"/>
  <c r="J23" i="29"/>
  <c r="J37" i="16"/>
  <c r="J49" i="16" s="1"/>
  <c r="J13" i="16"/>
  <c r="J16" i="16" s="1"/>
  <c r="D16" i="16"/>
  <c r="J38" i="27"/>
  <c r="J52" i="16"/>
  <c r="D53" i="16"/>
  <c r="D60" i="16"/>
  <c r="E10" i="30"/>
  <c r="D16" i="30"/>
  <c r="G10" i="30"/>
  <c r="J19" i="16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D10" i="30"/>
  <c r="H44" i="27"/>
  <c r="H51" i="27" s="1"/>
  <c r="J15" i="27"/>
  <c r="J16" i="27" s="1"/>
  <c r="G44" i="27"/>
  <c r="G51" i="27" s="1"/>
  <c r="E8" i="30"/>
  <c r="D44" i="27"/>
  <c r="D51" i="27" s="1"/>
  <c r="J39" i="28"/>
  <c r="J37" i="28"/>
  <c r="H13" i="30"/>
  <c r="F13" i="30"/>
  <c r="G12" i="30"/>
  <c r="D12" i="30"/>
  <c r="E12" i="30"/>
  <c r="G11" i="30"/>
  <c r="H8" i="30"/>
  <c r="E41" i="28"/>
  <c r="D41" i="28"/>
  <c r="D8" i="30"/>
  <c r="G41" i="28"/>
  <c r="F8" i="30"/>
  <c r="G8" i="30"/>
  <c r="H41" i="28"/>
  <c r="G7" i="30"/>
  <c r="F7" i="30"/>
  <c r="D7" i="30"/>
  <c r="E13" i="30"/>
  <c r="G13" i="30"/>
  <c r="D13" i="30"/>
  <c r="H50" i="31"/>
  <c r="H57" i="31" s="1"/>
  <c r="J41" i="31"/>
  <c r="J16" i="31"/>
  <c r="F50" i="31"/>
  <c r="F57" i="31" s="1"/>
  <c r="G50" i="31"/>
  <c r="G57" i="31" s="1"/>
  <c r="H7" i="30"/>
  <c r="D50" i="31"/>
  <c r="D57" i="31" s="1"/>
  <c r="E50" i="31"/>
  <c r="E57" i="31" s="1"/>
  <c r="D11" i="30"/>
  <c r="J19" i="29"/>
  <c r="E39" i="29"/>
  <c r="E46" i="29" s="1"/>
  <c r="G39" i="29"/>
  <c r="G46" i="29" s="1"/>
  <c r="H39" i="29"/>
  <c r="H46" i="29" s="1"/>
  <c r="D39" i="29"/>
  <c r="D46" i="29" s="1"/>
  <c r="F39" i="29"/>
  <c r="F46" i="29" s="1"/>
  <c r="J49" i="31"/>
  <c r="E44" i="27"/>
  <c r="E51" i="27" s="1"/>
  <c r="F44" i="27"/>
  <c r="F51" i="27" s="1"/>
  <c r="H53" i="16"/>
  <c r="H60" i="16" s="1"/>
  <c r="J44" i="29"/>
  <c r="J38" i="29"/>
  <c r="J33" i="28"/>
  <c r="J49" i="27"/>
  <c r="E53" i="16"/>
  <c r="E60" i="16" s="1"/>
  <c r="G53" i="16"/>
  <c r="G60" i="16" s="1"/>
  <c r="F53" i="16"/>
  <c r="F60" i="16" s="1"/>
  <c r="J10" i="30" l="1"/>
  <c r="J11" i="30"/>
  <c r="D58" i="34"/>
  <c r="J51" i="34"/>
  <c r="J58" i="34" s="1"/>
  <c r="J51" i="33"/>
  <c r="J58" i="33" s="1"/>
  <c r="D58" i="33"/>
  <c r="J46" i="32"/>
  <c r="J53" i="32" s="1"/>
  <c r="E18" i="30"/>
  <c r="J12" i="30"/>
  <c r="F14" i="30"/>
  <c r="F18" i="30" s="1"/>
  <c r="J9" i="30"/>
  <c r="J8" i="30"/>
  <c r="J41" i="28"/>
  <c r="D25" i="30" s="1"/>
  <c r="G14" i="30"/>
  <c r="G18" i="30" s="1"/>
  <c r="J7" i="30"/>
  <c r="F41" i="28"/>
  <c r="H14" i="30"/>
  <c r="H18" i="30" s="1"/>
  <c r="D14" i="30"/>
  <c r="J13" i="30"/>
  <c r="J50" i="31"/>
  <c r="J57" i="31" s="1"/>
  <c r="J39" i="29"/>
  <c r="J46" i="29" s="1"/>
  <c r="D26" i="30" s="1"/>
  <c r="J44" i="27"/>
  <c r="J51" i="27" s="1"/>
  <c r="D24" i="30" s="1"/>
  <c r="J53" i="16"/>
  <c r="J60" i="16" s="1"/>
  <c r="D23" i="30" s="1"/>
  <c r="J14" i="30" l="1"/>
  <c r="J18" i="30" s="1"/>
  <c r="D18" i="30"/>
  <c r="D28" i="30"/>
  <c r="E24" i="30" s="1"/>
  <c r="E25" i="30" l="1"/>
  <c r="E23" i="30"/>
  <c r="E26" i="30"/>
  <c r="E28" i="30" l="1"/>
</calcChain>
</file>

<file path=xl/sharedStrings.xml><?xml version="1.0" encoding="utf-8"?>
<sst xmlns="http://schemas.openxmlformats.org/spreadsheetml/2006/main" count="552" uniqueCount="166">
  <si>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</si>
  <si>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</si>
  <si>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</si>
  <si>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</si>
  <si>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</si>
  <si>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</si>
  <si>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</si>
  <si>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</si>
  <si>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</si>
  <si>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</si>
  <si>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</si>
  <si>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</si>
  <si>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</si>
  <si>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</si>
  <si>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</si>
  <si>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</si>
  <si>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</si>
  <si>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</si>
  <si>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</si>
  <si>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</si>
  <si>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</si>
  <si>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</si>
  <si>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</si>
  <si>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</si>
  <si>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</si>
  <si>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</si>
  <si>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</si>
  <si>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</si>
  <si>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Recycling, Composting, &amp; Waste Disposal</t>
  </si>
  <si>
    <t>Residential Solar &amp; Energy Efficiency</t>
  </si>
  <si>
    <t>Solar Lighting in Priority Community Locations</t>
  </si>
  <si>
    <t>Green Head Start Building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</si>
  <si>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</si>
  <si>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</si>
  <si>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</si>
  <si>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</si>
  <si>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</si>
  <si>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</si>
  <si>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</si>
  <si>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</si>
  <si>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32 roll off containers @ $19,000 each</t>
  </si>
  <si>
    <t>2 Horizontal balers @ $15,000 each</t>
  </si>
  <si>
    <t>4 camera systems (each includes 6 cameras and monitoring system) @ $20,000 each</t>
  </si>
  <si>
    <t>40 ballards for protection at neighbhorhood drop-offs, @10 for $300</t>
  </si>
  <si>
    <t>2 electric garbage trucks @ $675,000 each</t>
  </si>
  <si>
    <t>1 roll-off PUP trailer (3 axle trailer, model TR2450, quote from Great Lakes)</t>
  </si>
  <si>
    <t>2 electric roll-off carriers</t>
  </si>
  <si>
    <t>Compost WindrowTurner (Komptech X4500)</t>
  </si>
  <si>
    <t>Waste Shredder (Komptech Crambo 6000)</t>
  </si>
  <si>
    <t>4 electric vehicle charging station posts</t>
  </si>
  <si>
    <t xml:space="preserve"> </t>
  </si>
  <si>
    <t>4 electric vehicle charging stations</t>
  </si>
  <si>
    <t xml:space="preserve"> Supplies </t>
  </si>
  <si>
    <t xml:space="preserve"> Contractual </t>
  </si>
  <si>
    <t>Materials and construction of 4 small office buildings (26x26 ft with restroom)</t>
  </si>
  <si>
    <t>Contract for concrete pads for neighbhorhood drop-off sites (175x150ft, @ $15/sf, smooth finish)</t>
  </si>
  <si>
    <t>Conract for neighborhood drop-off ramps, curb/wall</t>
  </si>
  <si>
    <t>Contract for outreach &amp; education support</t>
  </si>
  <si>
    <t>Contract for excavation &amp; site prep for composting site</t>
  </si>
  <si>
    <t>Contract for surround fencing at the 4 neighborhood drop-off locations (8ft high with razor wire) and security gate @30/ft + $10,000 for gate</t>
  </si>
  <si>
    <t>Contract for equipment, technology, installation, training for sorting equipment (micro MRF)</t>
  </si>
  <si>
    <t>Contract for water, sewer service for the 4 neighborhood offices</t>
  </si>
  <si>
    <t>Contract for recycling storage building  (100x60 ft, not heated)</t>
  </si>
  <si>
    <t>Contract for recycling storage building electricity &amp; insulation (traditional)</t>
  </si>
  <si>
    <t>Contract for recycling storage building site prep/excavation</t>
  </si>
  <si>
    <t>Contract for installation of 4 electric vehicle charging stations (electrician)</t>
  </si>
  <si>
    <t>OTHER</t>
  </si>
  <si>
    <t>Indirect Costs</t>
  </si>
  <si>
    <t>Contract for residential PV + storage installed costs, based on assumption of $4.90/watt serving 400 households offestting 30% of energy consumption, divided evenly across years 2-5 to reflect phased approach)</t>
  </si>
  <si>
    <t>Contract for energy efficiency retrofits/weatherization, based on assumption of $3,726.55 per household at 400 households served, divided evenly across years 2-5 to reflect phased approach</t>
  </si>
  <si>
    <t>300 solar lights + batteries to last 24 years @4695</t>
  </si>
  <si>
    <t>300 mast arms (attaches solar portion) @200</t>
  </si>
  <si>
    <t>300 poles @ 1500</t>
  </si>
  <si>
    <t>1 Electric vehicle for managing installation and ongoing maintenance (estimated based on 2023 Pro Ford Lighting F150 extended range)</t>
  </si>
  <si>
    <t>Contract for concrete foundation &amp; installation of light poles @ 1000/each</t>
  </si>
  <si>
    <t>Capital costs of geothermal system (per technical assistance provider estimate)</t>
  </si>
  <si>
    <t>Contract for installed small non-residential solar + storage (assuming $5.2/W offsetting 20% energy load)</t>
  </si>
  <si>
    <t>Contract for geothermal installation</t>
  </si>
  <si>
    <t>Contract for geothermal O&amp;M (per technical assistance provider estimate, @ $16,136/year)</t>
  </si>
  <si>
    <t>Contract for construction of the building</t>
  </si>
  <si>
    <t>Contract for energy efficiency measures (based on assumptions of green building cost premium @ $4/sqft for 31,640 sqft)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</si>
  <si>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</si>
  <si>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</si>
  <si>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</si>
  <si>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</si>
  <si>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</si>
  <si>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</si>
  <si>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</si>
  <si>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</si>
  <si>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</si>
  <si>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</si>
  <si>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</si>
  <si>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</si>
  <si>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</si>
  <si>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</si>
  <si>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</si>
  <si>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</si>
  <si>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</si>
  <si>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</si>
  <si>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</si>
  <si>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</si>
  <si>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</si>
  <si>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</si>
  <si>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</si>
  <si>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</si>
  <si>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</si>
  <si>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</si>
  <si>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</si>
  <si>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</si>
  <si>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</si>
  <si>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</si>
  <si>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</si>
  <si>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</si>
  <si>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</si>
  <si>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</si>
  <si>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>4 EV Trucks w/ charging stations &amp; bldg to store</t>
  </si>
  <si>
    <t>Tools, lumber, misc. supplies</t>
  </si>
  <si>
    <t>Maintenance for EV trucks</t>
  </si>
  <si>
    <t>Tires</t>
  </si>
  <si>
    <t>Insurance for EV trucks</t>
  </si>
  <si>
    <t>4 Neighborhood Drop-Off Site Personnel @ $20/hour + 3% COLA years 2 - 5</t>
  </si>
  <si>
    <t>4 driver personnel @ $25/hour + 3% COLA years 2 - 5</t>
  </si>
  <si>
    <t>2 composting personnel @ 25/hour +3% COLA years 2 - 5</t>
  </si>
  <si>
    <t>4 neighbhorhood Drop-Off Personnel  @ 27.91% fringe rate (FICA -6.2%, Medicare - 1.45%, Retirement - 10%, Workers Comp - 1.18%, SUTA 0.08% and Health insurance - single policy  - 9%,</t>
  </si>
  <si>
    <t>2 composting personnel @ 27.91% fringe rate</t>
  </si>
  <si>
    <t xml:space="preserve">4 driver personnel @ 27.91% Fringe rate. </t>
  </si>
  <si>
    <t>Surface Pro for technicians - photos, daily work record, email communication (4) (1,200 each)</t>
  </si>
  <si>
    <t>deaktop computer with software (2) - Energy Planner and Assistant -$1,350,00 each</t>
  </si>
  <si>
    <t>2 laptop computers for community engagement and educational outreach - $1,100.00 each</t>
  </si>
  <si>
    <t>office supplies - $100.00/month x 12 months x 5 years</t>
  </si>
  <si>
    <t>Indirect Costs - 14.68% IDC does not include contracts or equipment</t>
  </si>
  <si>
    <t>Indirect Costs - 14.68% does not include equipment or contractual</t>
  </si>
  <si>
    <t>Contract for installation of electric vehicle charger installation (5)  (electrician)</t>
  </si>
  <si>
    <t>1 personnel to coordinate purchase and installation of lights - 22.00/hour - 3% COLA Years 2-5</t>
  </si>
  <si>
    <t>5 electric vehicle charging station</t>
  </si>
  <si>
    <t>5 electric vehicle charging station post</t>
  </si>
  <si>
    <t>Indirect Costs - 14,68% - personnel, travel and fringe only</t>
  </si>
  <si>
    <t xml:space="preserve"> Supplies - clerical and office 100.00/month</t>
  </si>
  <si>
    <t>1 Desktop computer</t>
  </si>
  <si>
    <t xml:space="preserve"> Fringe Benefits - 27.91%  (FICA -6.2%, Medicare - 1.45%, Retirement - 10%, Workers Comp - 1.18%, SUTA 0.08% and Health insurance - single policy  - 9%).</t>
  </si>
  <si>
    <t>Energy Program Coordinator (TPED) - 15% time based on curent salary and fringe to provide program oversight and administration.</t>
  </si>
  <si>
    <r>
      <t xml:space="preserve"> Travel -</t>
    </r>
    <r>
      <rPr>
        <i/>
        <sz val="11"/>
        <color rgb="FF000000"/>
        <rFont val="Calibri"/>
        <family val="2"/>
        <scheme val="minor"/>
      </rPr>
      <t xml:space="preserve"> local monthly review of site, programs and meet with staff for 2 TPED employees</t>
    </r>
    <r>
      <rPr>
        <b/>
        <sz val="11"/>
        <color rgb="FF000000"/>
        <rFont val="Calibri"/>
        <family val="2"/>
        <scheme val="minor"/>
      </rPr>
      <t xml:space="preserve">. </t>
    </r>
    <r>
      <rPr>
        <i/>
        <sz val="11"/>
        <color rgb="FF000000"/>
        <rFont val="Calibri"/>
        <family val="2"/>
        <scheme val="minor"/>
      </rPr>
      <t>100 miles per month x 2 staff x 12 months x 5 years</t>
    </r>
  </si>
  <si>
    <r>
      <t xml:space="preserve"> Travel -</t>
    </r>
    <r>
      <rPr>
        <i/>
        <sz val="11"/>
        <color rgb="FF000000"/>
        <rFont val="Calibri"/>
        <family val="2"/>
        <scheme val="minor"/>
      </rPr>
      <t xml:space="preserve"> local travel for TPED oversight to review and document program 1200 miles per year x .65 x 5 years</t>
    </r>
  </si>
  <si>
    <t>Exec Director - program oversight 20% time based on current wages</t>
  </si>
  <si>
    <t>1 Energy Planner - FTE</t>
  </si>
  <si>
    <t>1 Assistant Energy Planner - FTE</t>
  </si>
  <si>
    <t>4 Solar Technicians - FTE</t>
  </si>
  <si>
    <r>
      <t xml:space="preserve"> Fringe Benefits  - </t>
    </r>
    <r>
      <rPr>
        <i/>
        <sz val="11"/>
        <color rgb="FF000000"/>
        <rFont val="Calibri"/>
        <family val="2"/>
        <scheme val="minor"/>
      </rPr>
      <t>27.91% - Tribal rate</t>
    </r>
  </si>
  <si>
    <t>local mileage - program oversight</t>
  </si>
  <si>
    <t>Contractt for Construction of facility to store/maintain EV trucks 860 square feed with cement flooring, garage doors, windows, security system, restroom and maintenance shelving/supplies</t>
  </si>
  <si>
    <t>S. Hunt - Planner - procurement - 10% time based on current wages</t>
  </si>
  <si>
    <t xml:space="preserve">Farrah Gourneau - Tribal Planner - procurement - 10% of time based on current rate of pay </t>
  </si>
  <si>
    <t>M. Sinclaire, Energy Coor. - Oversight, daily review and data collection -20% of time based on curent rate of pay</t>
  </si>
  <si>
    <t xml:space="preserve"> Fringe Benefits - 27.91%</t>
  </si>
  <si>
    <t>Travel for 4 staff to attend conference/training: Location TBD, airline cost - 650.00 (2,600.00) x 4, lodging at 259.00 x 3 nights x 4 staff (3,108.00), per diem @ 79.00/day x 4 days x 4 staff (1,264.00), travel to and from airport 240 miles round trip x .65 x 4 (624.00), airline parking 10.00 x 5 x 4 (200.00), Taxi/shuttle at destination - 100.00 x 4 (400.00), baggage check - 75.00 x 4 (300.00) - GSA rates 2024 based on Washington DC. Travel includes TPRD Director, Energy Planner, 1 Head Start Rep., and Energy Coordinator</t>
  </si>
  <si>
    <t>Travel for 4 staff to attend conference/training: Location TBD, airline cost - 650.00 (2,600.00) x 4, lodging at 259.00 x 4 nights x 4 staff (4,144.00), per diem @ 79.00/day x 5 days x 4 staff (1,580.00), travel to and from airport 240 miles round trip x .65 x 4 (624.00), airline parking 10.00 x 5 x 4 (200.00), Taxi/shuttle at destination - 100.00 x 4 (400.00), baggage check - 75.00 x 4 (300.00) - GSA rates 2024 based on Washington DC. Travel includes TPRD Director, Energy Planner, 1 solar tech and assistant.</t>
  </si>
  <si>
    <t>Contract for solar workforce training  -5 days</t>
  </si>
  <si>
    <t>Contract for facilitation support</t>
  </si>
  <si>
    <t>Contract for energency efficiency workshops for community</t>
  </si>
  <si>
    <t>Contract for moving current head start double-wide buildings to an alternate location during constructio, includes removal of water and sewer, playground equipment, electrical relocation and fencing.</t>
  </si>
  <si>
    <t>Travel</t>
  </si>
  <si>
    <t>Local travel for 2 TPED staff to over see construction and project compliance. 200 miles per month x 2 x .65 x 60 months</t>
  </si>
  <si>
    <t>Total Travel</t>
  </si>
  <si>
    <t>Indirect Costs - 14.68%</t>
  </si>
  <si>
    <t>Contract for architectural costs - 7% cost of construction</t>
  </si>
  <si>
    <t>A. Blue, Exec. Dir. TPED - Oversight -15% of time based on current rate of pay. Continued oversight, community education Y4 &amp; 5 for all staff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</si>
</sst>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left" wrapText="1" indent="2"/>
    </xf>
    <xf numFmtId="6" fontId="5" fillId="0" borderId="1" xfId="0" applyNumberFormat="1" applyFont="1" applyBorder="1" applyAlignment="1">
      <alignment wrapText="1"/>
    </xf>
    <xf numFmtId="6" fontId="5" fillId="4" borderId="1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left" wrapText="1" indent="4"/>
    </xf>
    <xf numFmtId="6" fontId="5" fillId="4" borderId="4" xfId="0" applyNumberFormat="1" applyFont="1" applyFill="1" applyBorder="1" applyAlignment="1">
      <alignment wrapText="1"/>
    </xf>
    <xf numFmtId="0" fontId="10" fillId="0" borderId="1" xfId="0" applyFont="1" applyBorder="1"/>
    <xf numFmtId="6" fontId="19" fillId="0" borderId="12" xfId="0" applyNumberFormat="1" applyFont="1" applyBorder="1" applyAlignment="1">
      <alignment wrapText="1"/>
    </xf>
    <xf numFmtId="0" fontId="10" fillId="0" borderId="1" xfId="0" applyFont="1" applyBorder="1" applyAlignment="1">
      <alignment vertical="top"/>
    </xf>
    <xf numFmtId="6" fontId="5" fillId="7" borderId="1" xfId="0" applyNumberFormat="1" applyFont="1" applyFill="1" applyBorder="1" applyAlignment="1">
      <alignment horizontal="left" vertical="top" wrapText="1"/>
    </xf>
    <xf numFmtId="6" fontId="5" fillId="7" borderId="8" xfId="0" applyNumberFormat="1" applyFont="1" applyFill="1" applyBorder="1" applyAlignment="1">
      <alignment wrapText="1"/>
    </xf>
    <xf numFmtId="6" fontId="5" fillId="7" borderId="1" xfId="0" applyNumberFormat="1" applyFont="1" applyFill="1" applyBorder="1" applyAlignment="1">
      <alignment wrapText="1"/>
    </xf>
    <xf numFmtId="0" fontId="5" fillId="9" borderId="1" xfId="0" applyFont="1" applyFill="1" applyBorder="1" applyAlignment="1">
      <alignment horizontal="left" wrapText="1" indent="2"/>
    </xf>
    <xf numFmtId="6" fontId="5" fillId="9" borderId="1" xfId="0" applyNumberFormat="1" applyFont="1" applyFill="1" applyBorder="1" applyAlignment="1">
      <alignment wrapText="1"/>
    </xf>
    <xf numFmtId="6" fontId="7" fillId="9" borderId="0" xfId="0" applyNumberFormat="1" applyFont="1" applyFill="1"/>
    <xf numFmtId="0" fontId="2" fillId="0" borderId="5" xfId="0" applyFont="1" applyBorder="1" applyAlignment="1">
      <alignment vertical="top"/>
    </xf>
    <xf numFmtId="3" fontId="7" fillId="0" borderId="1" xfId="0" applyNumberFormat="1" applyFont="1" applyBorder="1" applyAlignment="1">
      <alignment wrapText="1"/>
    </xf>
    <xf numFmtId="3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0" fontId="18" fillId="0" borderId="1" xfId="0" applyFont="1" applyBorder="1" applyAlignment="1">
      <alignment horizontal="left" wrapText="1" indent="2"/>
    </xf>
    <xf numFmtId="6" fontId="18" fillId="0" borderId="1" xfId="0" applyNumberFormat="1" applyFont="1" applyBorder="1" applyAlignment="1">
      <alignment wrapText="1"/>
    </xf>
    <xf numFmtId="0" fontId="20" fillId="0" borderId="0" xfId="0" applyFont="1"/>
    <xf numFmtId="4" fontId="7" fillId="0" borderId="1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6" fontId="5" fillId="10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left" wrapText="1"/>
    </xf>
    <xf numFmtId="9" fontId="5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42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0"/>
      <c r="R28" s="61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20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106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84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85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 t="s">
        <v>101</v>
      </c>
      <c r="D18" s="13"/>
      <c r="E18" s="10"/>
      <c r="F18" s="10"/>
      <c r="G18" s="10"/>
      <c r="H18" s="10"/>
      <c r="J18" s="15" t="s">
        <v>36</v>
      </c>
    </row>
    <row r="19" spans="2:10" x14ac:dyDescent="0.25">
      <c r="B19" s="23"/>
      <c r="C19" s="29" t="s">
        <v>86</v>
      </c>
      <c r="D19" s="15" t="s">
        <v>50</v>
      </c>
      <c r="E19" s="11" t="s">
        <v>50</v>
      </c>
      <c r="F19" s="11" t="s">
        <v>50</v>
      </c>
      <c r="G19" s="11"/>
      <c r="H19" s="11"/>
      <c r="J19" s="15"/>
    </row>
    <row r="20" spans="2:10" x14ac:dyDescent="0.25">
      <c r="B20" s="23"/>
      <c r="C20" s="29" t="s">
        <v>87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88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107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90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91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92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50</v>
      </c>
      <c r="C30" s="28" t="s">
        <v>50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52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 t="s">
        <v>95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53</v>
      </c>
      <c r="D36" s="13" t="s">
        <v>36</v>
      </c>
      <c r="E36" s="10"/>
      <c r="F36" s="10"/>
      <c r="G36" s="10"/>
      <c r="H36" s="10"/>
      <c r="J36" s="15"/>
    </row>
    <row r="37" spans="2:10" ht="30" x14ac:dyDescent="0.25">
      <c r="B37" s="23"/>
      <c r="C37" s="58" t="s">
        <v>108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109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110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111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112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66</v>
      </c>
      <c r="D43" s="13" t="s">
        <v>36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113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67</v>
      </c>
      <c r="C53" s="17" t="s">
        <v>67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114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29"/>
  <sheetViews>
    <sheetView showGridLines="0" tabSelected="1" zoomScale="83" zoomScaleNormal="85" workbookViewId="0">
      <selection activeCell="N27" sqref="N27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41.5703125" customWidth="1"/>
    <col min="4" max="4" width="12.85546875" style="6" bestFit="1" customWidth="1"/>
    <col min="5" max="5" width="14.28515625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93" t="s">
        <v>1</v>
      </c>
      <c r="C3" s="93"/>
      <c r="D3" s="93"/>
      <c r="E3" s="93"/>
      <c r="F3" s="93"/>
      <c r="G3" s="93"/>
      <c r="H3" s="93"/>
      <c r="I3" s="93"/>
      <c r="J3" s="93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5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6" t="s">
        <v>10</v>
      </c>
    </row>
    <row r="7" spans="2:39" s="5" customFormat="1" x14ac:dyDescent="0.25">
      <c r="B7" s="22" t="s">
        <v>11</v>
      </c>
      <c r="C7" s="51" t="s">
        <v>12</v>
      </c>
      <c r="D7" s="79">
        <f>'Measure 1 Budget'!D11+'Measure 2 Budget'!D13+'Measure 3 Budget'!D10+'Measure 4 Budget'!D11+'Measure 5 Budget'!D11</f>
        <v>936322</v>
      </c>
      <c r="E7" s="79">
        <f>'Measure 1 Budget'!E11+'Measure 2 Budget'!E13+'Measure 3 Budget'!E10+'Measure 4 Budget'!E11+'Measure 5 Budget'!E11</f>
        <v>964345</v>
      </c>
      <c r="F7" s="79">
        <f>'Measure 1 Budget'!F11+'Measure 2 Budget'!F13+'Measure 3 Budget'!F10+'Measure 4 Budget'!F11+'Measure 5 Budget'!F11</f>
        <v>993141</v>
      </c>
      <c r="G7" s="79">
        <f>'Measure 1 Budget'!G11+'Measure 2 Budget'!G13+'Measure 3 Budget'!G10+'Measure 4 Budget'!G11+'Measure 5 Budget'!G11</f>
        <v>1015255</v>
      </c>
      <c r="H7" s="79">
        <f>'Measure 1 Budget'!H11+'Measure 2 Budget'!H13+'Measure 3 Budget'!H10+'Measure 4 Budget'!H11+'Measure 5 Budget'!H11</f>
        <v>1039484</v>
      </c>
      <c r="I7" s="52"/>
      <c r="J7" s="79">
        <f>SUM(D7:I7)</f>
        <v>4948547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79">
        <f>'Measure 1 Budget'!D16+'Measure 2 Budget'!D16+'Measure 3 Budget'!D12+'Measure 4 Budget'!D14+'Measure 5 Budget'!D16</f>
        <v>261328</v>
      </c>
      <c r="E8" s="79">
        <f>'Measure 1 Budget'!E16+'Measure 2 Budget'!E16+'Measure 3 Budget'!E12+'Measure 4 Budget'!E14</f>
        <v>269149</v>
      </c>
      <c r="F8" s="79">
        <f>'Measure 1 Budget'!F16+'Measure 2 Budget'!F16+'Measure 3 Budget'!F12+'Measure 4 Budget'!F14</f>
        <v>277186</v>
      </c>
      <c r="G8" s="79">
        <f>'Measure 1 Budget'!G16+'Measure 2 Budget'!G16+'Measure 3 Budget'!G12+'Measure 4 Budget'!G14</f>
        <v>283358</v>
      </c>
      <c r="H8" s="79">
        <f>'Measure 1 Budget'!H16+'Measure 2 Budget'!H16+'Measure 3 Budget'!H12+'Measure 4 Budget'!H14</f>
        <v>290102</v>
      </c>
      <c r="I8" s="52"/>
      <c r="J8" s="79">
        <f t="shared" ref="J8:J14" si="0">SUM(D8:I8)</f>
        <v>1381123</v>
      </c>
    </row>
    <row r="9" spans="2:39" x14ac:dyDescent="0.25">
      <c r="B9" s="23"/>
      <c r="C9" s="51" t="s">
        <v>14</v>
      </c>
      <c r="D9" s="79">
        <v>24804</v>
      </c>
      <c r="E9" s="79">
        <v>6560</v>
      </c>
      <c r="F9" s="79">
        <v>16508</v>
      </c>
      <c r="G9" s="79">
        <v>6760</v>
      </c>
      <c r="H9" s="79">
        <v>6860</v>
      </c>
      <c r="I9" s="52"/>
      <c r="J9" s="79">
        <f t="shared" si="0"/>
        <v>61492</v>
      </c>
    </row>
    <row r="10" spans="2:39" x14ac:dyDescent="0.25">
      <c r="B10" s="23"/>
      <c r="C10" s="51" t="s">
        <v>15</v>
      </c>
      <c r="D10" s="79">
        <f>'Measure 1 Budget'!D32+'Measure 2 Budget'!D23+'Measure 3 Budget'!D22+'Measure 4 Budget'!D23+'Measure 5 Budget'!D31</f>
        <v>5551359</v>
      </c>
      <c r="E10" s="79">
        <f>'Measure 1 Budget'!E32+'Measure 2 Budget'!E23+'Measure 3 Budget'!E22+'Measure 4 Budget'!E23</f>
        <v>1162612</v>
      </c>
      <c r="F10" s="79">
        <f>'Measure 1 Budget'!F32+'Measure 2 Budget'!F23+'Measure 3 Budget'!F22+'Measure 4 Budget'!F23</f>
        <v>895300</v>
      </c>
      <c r="G10" s="79">
        <f>'Measure 1 Budget'!G32+'Measure 2 Budget'!G23+'Measure 3 Budget'!G22+'Measure 4 Budget'!G23</f>
        <v>0</v>
      </c>
      <c r="H10" s="79">
        <f>'Measure 1 Budget'!H32+'Measure 2 Budget'!H23+'Measure 3 Budget'!H22+'Measure 4 Budget'!H23</f>
        <v>0</v>
      </c>
      <c r="I10" s="52"/>
      <c r="J10" s="79">
        <f t="shared" si="0"/>
        <v>7609271</v>
      </c>
    </row>
    <row r="11" spans="2:39" x14ac:dyDescent="0.25">
      <c r="B11" s="23"/>
      <c r="C11" s="51" t="s">
        <v>16</v>
      </c>
      <c r="D11" s="79">
        <f>'Measure 1 Budget'!D35+'Measure 2 Budget'!D30+'Measure 3 Budget'!D25+'Measure 4 Budget'!D26+'Measure 5 Budget'!D35</f>
        <v>38300</v>
      </c>
      <c r="E11" s="79">
        <f>'Measure 1 Budget'!E35+'Measure 2 Budget'!E30+'Measure 3 Budget'!E25+'Measure 4 Budget'!E26</f>
        <v>22400</v>
      </c>
      <c r="F11" s="79">
        <f>'Measure 1 Budget'!F35+'Measure 2 Budget'!F30+'Measure 3 Budget'!F25+'Measure 4 Budget'!F26</f>
        <v>22400</v>
      </c>
      <c r="G11" s="79">
        <f>'Measure 1 Budget'!G35+'Measure 2 Budget'!G30+'Measure 3 Budget'!G25+'Measure 4 Budget'!G26</f>
        <v>17400</v>
      </c>
      <c r="H11" s="79">
        <f>'Measure 1 Budget'!H35+'Measure 2 Budget'!H30+'Measure 3 Budget'!H25+'Measure 4 Budget'!H26</f>
        <v>17400</v>
      </c>
      <c r="I11" s="52"/>
      <c r="J11" s="79">
        <f t="shared" si="0"/>
        <v>117900</v>
      </c>
    </row>
    <row r="12" spans="2:39" x14ac:dyDescent="0.25">
      <c r="B12" s="23"/>
      <c r="C12" s="51" t="s">
        <v>17</v>
      </c>
      <c r="D12" s="79">
        <f>'Measure 1 Budget'!D49+'Measure 2 Budget'!D38+'Measure 3 Budget'!D29+'Measure 4 Budget'!D35+'Measure 5 Budget'!D41</f>
        <v>12713550</v>
      </c>
      <c r="E12" s="79">
        <f>'Measure 1 Budget'!E49+'Measure 2 Budget'!E38+'Measure 3 Budget'!E29+'Measure 4 Budget'!E35</f>
        <v>9521163.5</v>
      </c>
      <c r="F12" s="79">
        <f>'Measure 1 Budget'!F49+'Measure 2 Budget'!F38+'Measure 3 Budget'!F29+'Measure 4 Budget'!F35</f>
        <v>5659179.5</v>
      </c>
      <c r="G12" s="79">
        <f>'Measure 1 Budget'!G49+'Measure 2 Budget'!G38+'Measure 3 Budget'!G29+'Measure 4 Budget'!G35</f>
        <v>3484179.5</v>
      </c>
      <c r="H12" s="79">
        <v>3484803</v>
      </c>
      <c r="I12" s="52"/>
      <c r="J12" s="79">
        <f t="shared" si="0"/>
        <v>34862875.5</v>
      </c>
    </row>
    <row r="13" spans="2:39" x14ac:dyDescent="0.25">
      <c r="B13" s="23"/>
      <c r="C13" s="51" t="s">
        <v>18</v>
      </c>
      <c r="D13" s="79">
        <f>'Measure 1 Budget'!D52+'Measure 2 Budget'!D43+'Measure 3 Budget'!D33+'Measure 4 Budget'!D38+'Measure 5 Budget'!D49</f>
        <v>5000</v>
      </c>
      <c r="E13" s="79">
        <f>'Measure 1 Budget'!E52+'Measure 2 Budget'!E43+'Measure 3 Budget'!E33+'Measure 4 Budget'!E38</f>
        <v>13900</v>
      </c>
      <c r="F13" s="79">
        <f>'Measure 1 Budget'!F52+'Measure 2 Budget'!F43+'Measure 3 Budget'!F33+'Measure 4 Budget'!F38</f>
        <v>9000</v>
      </c>
      <c r="G13" s="79">
        <f>'Measure 1 Budget'!G52+'Measure 2 Budget'!G43+'Measure 3 Budget'!G33+'Measure 4 Budget'!G38</f>
        <v>13500</v>
      </c>
      <c r="H13" s="79">
        <f>'Measure 1 Budget'!H52+'Measure 2 Budget'!H43+'Measure 3 Budget'!H33+'Measure 4 Budget'!H38</f>
        <v>9000</v>
      </c>
      <c r="I13" s="52"/>
      <c r="J13" s="79">
        <f t="shared" si="0"/>
        <v>50400</v>
      </c>
    </row>
    <row r="14" spans="2:39" x14ac:dyDescent="0.25">
      <c r="B14" s="24"/>
      <c r="C14" s="9" t="s">
        <v>19</v>
      </c>
      <c r="D14" s="71">
        <f>D13+D12+D11+D10+D9+D8+D7</f>
        <v>19530663</v>
      </c>
      <c r="E14" s="71">
        <v>11960286</v>
      </c>
      <c r="F14" s="71">
        <f>F13+F12+F11+F10+F9+F8+F7</f>
        <v>7872714.5</v>
      </c>
      <c r="G14" s="71">
        <f>G13+G12+G11+G10+G9+G8+G7</f>
        <v>4820452.5</v>
      </c>
      <c r="H14" s="71">
        <f>H13+H12+H11+H10+H9+H8+H7</f>
        <v>4847649</v>
      </c>
      <c r="J14" s="71">
        <f t="shared" si="0"/>
        <v>49031765</v>
      </c>
    </row>
    <row r="15" spans="2:39" x14ac:dyDescent="0.25">
      <c r="B15" s="64"/>
      <c r="C15" s="7"/>
      <c r="D15" s="7"/>
      <c r="E15" s="7"/>
      <c r="F15" s="7"/>
      <c r="G15" s="7"/>
      <c r="H15" s="7"/>
      <c r="J15" s="8" t="s">
        <v>20</v>
      </c>
    </row>
    <row r="16" spans="2:39" ht="20.100000000000001" customHeight="1" x14ac:dyDescent="0.25">
      <c r="B16" s="64"/>
      <c r="C16" s="9" t="s">
        <v>21</v>
      </c>
      <c r="D16" s="56">
        <f>'Measure 1 Budget'!D58+'Measure 2 Budget'!D49+'Measure 3 Budget'!D39+'Measure 4 Budget'!D44+'Measure 5 Budget'!D55</f>
        <v>185782</v>
      </c>
      <c r="E16" s="56">
        <f>'Measure 1 Budget'!E58+'Measure 2 Budget'!E49+'Measure 3 Budget'!E39+'Measure 4 Budget'!E44</f>
        <v>187368</v>
      </c>
      <c r="F16" s="56">
        <f>'Measure 1 Budget'!F58+'Measure 2 Budget'!F49+'Measure 3 Budget'!F39+'Measure 4 Budget'!F44</f>
        <v>193518</v>
      </c>
      <c r="G16" s="56">
        <f>'Measure 1 Budget'!G58+'Measure 2 Budget'!G49+'Measure 3 Budget'!G39+'Measure 4 Budget'!G44</f>
        <v>193787</v>
      </c>
      <c r="H16" s="56">
        <f>'Measure 1 Budget'!H58+'Measure 2 Budget'!H49+'Measure 3 Budget'!H39+'Measure 4 Budget'!H44</f>
        <v>200359</v>
      </c>
      <c r="J16" s="56">
        <f>SUM(D16:H16)</f>
        <v>960814</v>
      </c>
    </row>
    <row r="17" spans="2:10" ht="15.75" thickBot="1" x14ac:dyDescent="0.3">
      <c r="B17" s="64"/>
      <c r="C17" s="7"/>
      <c r="D17" s="7"/>
      <c r="E17" s="7"/>
      <c r="F17" s="7"/>
      <c r="G17" s="7"/>
      <c r="H17" s="7"/>
      <c r="J17" s="8" t="s">
        <v>20</v>
      </c>
    </row>
    <row r="18" spans="2:10" ht="30.95" customHeight="1" thickBot="1" x14ac:dyDescent="0.3">
      <c r="B18" s="63" t="s">
        <v>22</v>
      </c>
      <c r="C18" s="19"/>
      <c r="D18" s="53">
        <f>D14+D16</f>
        <v>19716445</v>
      </c>
      <c r="E18" s="53">
        <f>E14+E16</f>
        <v>12147654</v>
      </c>
      <c r="F18" s="53">
        <f>F14+F16</f>
        <v>8066232.5</v>
      </c>
      <c r="G18" s="53">
        <f>G14+G16</f>
        <v>5014239.5</v>
      </c>
      <c r="H18" s="53">
        <f>H14+H16</f>
        <v>5048008</v>
      </c>
      <c r="I18" s="54"/>
      <c r="J18" s="67">
        <f>J14+J16</f>
        <v>49992579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95"/>
      <c r="F21" s="95"/>
      <c r="H21"/>
      <c r="I21"/>
    </row>
    <row r="22" spans="2:10" ht="29.1" customHeight="1" x14ac:dyDescent="0.25">
      <c r="B22" s="47" t="s">
        <v>24</v>
      </c>
      <c r="C22" s="47" t="s">
        <v>25</v>
      </c>
      <c r="D22" s="55" t="s">
        <v>26</v>
      </c>
      <c r="E22" s="96" t="s">
        <v>27</v>
      </c>
      <c r="F22" s="96"/>
      <c r="H22"/>
      <c r="I22"/>
    </row>
    <row r="23" spans="2:10" ht="15" customHeight="1" x14ac:dyDescent="0.25">
      <c r="B23" s="51">
        <v>1</v>
      </c>
      <c r="C23" s="77" t="s">
        <v>28</v>
      </c>
      <c r="D23" s="78">
        <f>'Measure 1 Budget'!J60</f>
        <v>16590556</v>
      </c>
      <c r="E23" s="94">
        <f>D23/D$28</f>
        <v>0.33186037471681545</v>
      </c>
      <c r="F23" s="94"/>
      <c r="H23"/>
      <c r="I23"/>
    </row>
    <row r="24" spans="2:10" ht="15" customHeight="1" x14ac:dyDescent="0.25">
      <c r="B24" s="51">
        <v>2</v>
      </c>
      <c r="C24" s="79" t="s">
        <v>29</v>
      </c>
      <c r="D24" s="78">
        <f>'Measure 2 Budget'!J51</f>
        <v>17759805</v>
      </c>
      <c r="E24" s="94">
        <f>D24/D$28</f>
        <v>0.35524882603075947</v>
      </c>
      <c r="F24" s="94"/>
      <c r="H24"/>
      <c r="I24"/>
    </row>
    <row r="25" spans="2:10" ht="15" customHeight="1" x14ac:dyDescent="0.25">
      <c r="B25" s="51">
        <v>3</v>
      </c>
      <c r="C25" s="79" t="s">
        <v>30</v>
      </c>
      <c r="D25" s="78">
        <f>'Measure 3 Budget'!J41</f>
        <v>2703071</v>
      </c>
      <c r="E25" s="94">
        <f>D25/D$28</f>
        <v>5.4069444987024977E-2</v>
      </c>
      <c r="F25" s="94"/>
      <c r="H25"/>
      <c r="I25"/>
    </row>
    <row r="26" spans="2:10" ht="15" customHeight="1" x14ac:dyDescent="0.25">
      <c r="B26" s="51">
        <v>4</v>
      </c>
      <c r="C26" s="79" t="s">
        <v>31</v>
      </c>
      <c r="D26" s="78">
        <f>'Measure 4 Budget'!J46</f>
        <v>12939147</v>
      </c>
      <c r="E26" s="94">
        <f>D26/D$28</f>
        <v>0.25882135426540009</v>
      </c>
      <c r="F26" s="94"/>
      <c r="H26"/>
      <c r="I26"/>
    </row>
    <row r="27" spans="2:10" ht="15" customHeight="1" x14ac:dyDescent="0.25">
      <c r="B27" s="51"/>
      <c r="C27" s="79"/>
      <c r="D27" s="78"/>
      <c r="E27" s="94"/>
      <c r="F27" s="94"/>
      <c r="H27"/>
      <c r="I27"/>
    </row>
    <row r="28" spans="2:10" ht="15" customHeight="1" x14ac:dyDescent="0.25">
      <c r="B28" s="51" t="s">
        <v>32</v>
      </c>
      <c r="C28" s="79"/>
      <c r="D28" s="78">
        <f>SUM(D23:D27)</f>
        <v>49992579</v>
      </c>
      <c r="E28" s="94">
        <f>SUM(E23:E27)</f>
        <v>1</v>
      </c>
      <c r="F28" s="94"/>
      <c r="H28"/>
      <c r="I28"/>
    </row>
    <row r="29" spans="2:10" ht="15" customHeight="1" x14ac:dyDescent="0.25">
      <c r="H29"/>
      <c r="I29"/>
    </row>
  </sheetData>
  <mergeCells count="9">
    <mergeCell ref="B3:J3"/>
    <mergeCell ref="E27:F27"/>
    <mergeCell ref="E28:F28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75"/>
  <sheetViews>
    <sheetView showGridLines="0" topLeftCell="A38" zoomScale="85" zoomScaleNormal="85" workbookViewId="0">
      <selection activeCell="E58" sqref="E58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  <col min="12" max="12" width="11" customWidth="1"/>
  </cols>
  <sheetData>
    <row r="2" spans="2:39" ht="23.25" x14ac:dyDescent="0.35">
      <c r="B2" s="30" t="s">
        <v>33</v>
      </c>
    </row>
    <row r="3" spans="2:39" x14ac:dyDescent="0.25">
      <c r="B3" s="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68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5" x14ac:dyDescent="0.25">
      <c r="B8" s="23"/>
      <c r="C8" s="69" t="s">
        <v>120</v>
      </c>
      <c r="D8" s="70">
        <f>41600*4</f>
        <v>166400</v>
      </c>
      <c r="E8" s="70">
        <v>171392</v>
      </c>
      <c r="F8" s="70">
        <v>176552</v>
      </c>
      <c r="G8" s="70">
        <v>181876</v>
      </c>
      <c r="H8" s="70">
        <v>183208</v>
      </c>
      <c r="I8" s="35"/>
      <c r="J8" s="70">
        <f>SUM(D8:H8)</f>
        <v>879428</v>
      </c>
    </row>
    <row r="9" spans="2:39" ht="30" x14ac:dyDescent="0.25">
      <c r="B9" s="23"/>
      <c r="C9" s="69" t="s">
        <v>121</v>
      </c>
      <c r="D9" s="70">
        <f>52000*4</f>
        <v>208000</v>
      </c>
      <c r="E9" s="70">
        <v>214240</v>
      </c>
      <c r="F9" s="70">
        <v>220648</v>
      </c>
      <c r="G9" s="70">
        <v>227304</v>
      </c>
      <c r="H9" s="70">
        <v>234124</v>
      </c>
      <c r="J9" s="70">
        <f>SUM(D9:H9)</f>
        <v>1104316</v>
      </c>
    </row>
    <row r="10" spans="2:39" ht="30" x14ac:dyDescent="0.25">
      <c r="B10" s="23"/>
      <c r="C10" s="69" t="s">
        <v>122</v>
      </c>
      <c r="D10" s="70">
        <v>104000</v>
      </c>
      <c r="E10" s="70">
        <v>107120</v>
      </c>
      <c r="F10" s="70">
        <v>110324</v>
      </c>
      <c r="G10" s="70">
        <v>113652</v>
      </c>
      <c r="H10" s="70">
        <v>117062</v>
      </c>
      <c r="J10" s="70">
        <f>SUM(D10:H10)</f>
        <v>552158</v>
      </c>
    </row>
    <row r="11" spans="2:39" x14ac:dyDescent="0.25">
      <c r="B11" s="23"/>
      <c r="C11" s="9" t="s">
        <v>12</v>
      </c>
      <c r="D11" s="71">
        <v>478400</v>
      </c>
      <c r="E11" s="71">
        <v>492752</v>
      </c>
      <c r="F11" s="71">
        <f>SUM(F8:F10)</f>
        <v>507524</v>
      </c>
      <c r="G11" s="71">
        <f>SUM(G8:G10)</f>
        <v>522832</v>
      </c>
      <c r="H11" s="71">
        <f>SUM(H8:H10)</f>
        <v>534394</v>
      </c>
      <c r="J11" s="71">
        <v>2535902</v>
      </c>
    </row>
    <row r="12" spans="2:39" x14ac:dyDescent="0.25">
      <c r="B12" s="23"/>
      <c r="C12" s="14" t="s">
        <v>37</v>
      </c>
      <c r="D12" s="28" t="s">
        <v>36</v>
      </c>
      <c r="E12" s="10"/>
      <c r="F12" s="10"/>
      <c r="G12" s="10"/>
      <c r="H12" s="10"/>
      <c r="J12" s="8" t="s">
        <v>36</v>
      </c>
    </row>
    <row r="13" spans="2:39" ht="90" x14ac:dyDescent="0.25">
      <c r="B13" s="23"/>
      <c r="C13" s="69" t="s">
        <v>123</v>
      </c>
      <c r="D13" s="70">
        <v>46442</v>
      </c>
      <c r="E13" s="70">
        <v>47836</v>
      </c>
      <c r="F13" s="70">
        <v>49276</v>
      </c>
      <c r="G13" s="70">
        <v>50762</v>
      </c>
      <c r="H13" s="70">
        <v>51115</v>
      </c>
      <c r="J13" s="70">
        <f>SUM(D13:H13)</f>
        <v>245431</v>
      </c>
    </row>
    <row r="14" spans="2:39" ht="30" x14ac:dyDescent="0.25">
      <c r="B14" s="23"/>
      <c r="C14" s="69" t="s">
        <v>125</v>
      </c>
      <c r="D14" s="70">
        <v>58053</v>
      </c>
      <c r="E14" s="70">
        <v>59794</v>
      </c>
      <c r="F14" s="70">
        <v>61583</v>
      </c>
      <c r="G14" s="70">
        <v>63441</v>
      </c>
      <c r="H14" s="70">
        <v>65344</v>
      </c>
      <c r="J14" s="70">
        <f t="shared" ref="J14:J15" si="0">SUM(D14:H14)</f>
        <v>308215</v>
      </c>
    </row>
    <row r="15" spans="2:39" ht="30" x14ac:dyDescent="0.25">
      <c r="B15" s="23"/>
      <c r="C15" s="69" t="s">
        <v>124</v>
      </c>
      <c r="D15" s="70">
        <v>29026</v>
      </c>
      <c r="E15" s="70">
        <v>29897</v>
      </c>
      <c r="F15" s="70">
        <v>30791</v>
      </c>
      <c r="G15" s="70">
        <v>31720</v>
      </c>
      <c r="H15" s="70">
        <v>32672</v>
      </c>
      <c r="J15" s="70">
        <f t="shared" si="0"/>
        <v>154106</v>
      </c>
    </row>
    <row r="16" spans="2:39" x14ac:dyDescent="0.25">
      <c r="B16" s="23"/>
      <c r="C16" s="9" t="s">
        <v>13</v>
      </c>
      <c r="D16" s="71">
        <f>SUM(D13:D15)</f>
        <v>133521</v>
      </c>
      <c r="E16" s="71">
        <f>SUM(E13:E15)</f>
        <v>137527</v>
      </c>
      <c r="F16" s="71">
        <f>SUM(F13:F15)</f>
        <v>141650</v>
      </c>
      <c r="G16" s="71">
        <f>SUM(G13:G15)</f>
        <v>145923</v>
      </c>
      <c r="H16" s="71">
        <f>SUM(H13:H15)</f>
        <v>149131</v>
      </c>
      <c r="J16" s="71">
        <f>SUM(J13:J15)</f>
        <v>707752</v>
      </c>
    </row>
    <row r="17" spans="2:12" ht="60" x14ac:dyDescent="0.25">
      <c r="B17" s="23"/>
      <c r="C17" s="14" t="s">
        <v>141</v>
      </c>
      <c r="D17" s="85"/>
      <c r="E17" s="10"/>
      <c r="F17" s="10"/>
      <c r="G17" s="10"/>
      <c r="H17" s="10"/>
      <c r="J17" s="8" t="s">
        <v>36</v>
      </c>
    </row>
    <row r="18" spans="2:12" x14ac:dyDescent="0.25">
      <c r="B18" s="23"/>
      <c r="C18" s="72"/>
      <c r="D18" s="70">
        <v>1560</v>
      </c>
      <c r="E18" s="11">
        <v>1560</v>
      </c>
      <c r="F18" s="11">
        <v>1560</v>
      </c>
      <c r="G18" s="11">
        <v>1560</v>
      </c>
      <c r="H18" s="11">
        <v>1560</v>
      </c>
      <c r="J18" s="70">
        <f>SUM(D18:H18)</f>
        <v>7800</v>
      </c>
    </row>
    <row r="19" spans="2:12" x14ac:dyDescent="0.25">
      <c r="B19" s="23"/>
      <c r="C19" s="9" t="s">
        <v>14</v>
      </c>
      <c r="D19" s="71">
        <f>SUM(D17:D18)</f>
        <v>1560</v>
      </c>
      <c r="E19" s="71">
        <f t="shared" ref="E19:H19" si="1">SUM(E17:E18)</f>
        <v>1560</v>
      </c>
      <c r="F19" s="71">
        <f t="shared" si="1"/>
        <v>1560</v>
      </c>
      <c r="G19" s="71">
        <f t="shared" si="1"/>
        <v>1560</v>
      </c>
      <c r="H19" s="71">
        <f t="shared" si="1"/>
        <v>1560</v>
      </c>
      <c r="J19" s="71">
        <f>SUM(J18:J18)</f>
        <v>7800</v>
      </c>
    </row>
    <row r="20" spans="2:12" x14ac:dyDescent="0.25">
      <c r="B20" s="23"/>
      <c r="C20" s="14" t="s">
        <v>39</v>
      </c>
      <c r="D20" s="70"/>
      <c r="E20" s="10"/>
      <c r="F20" s="10"/>
      <c r="G20" s="10"/>
      <c r="H20" s="10"/>
      <c r="J20" s="70" t="s">
        <v>20</v>
      </c>
    </row>
    <row r="21" spans="2:12" ht="30" x14ac:dyDescent="0.25">
      <c r="B21" s="23"/>
      <c r="C21" s="69" t="s">
        <v>40</v>
      </c>
      <c r="D21" s="70">
        <f>19000*32</f>
        <v>608000</v>
      </c>
      <c r="E21" s="70">
        <v>0</v>
      </c>
      <c r="F21" s="70">
        <v>0</v>
      </c>
      <c r="G21" s="70">
        <v>0</v>
      </c>
      <c r="H21" s="70">
        <v>0</v>
      </c>
      <c r="J21" s="70">
        <f t="shared" ref="J21:J48" si="2">SUM(D21:H21)</f>
        <v>608000</v>
      </c>
    </row>
    <row r="22" spans="2:12" ht="42.75" customHeight="1" x14ac:dyDescent="0.25">
      <c r="B22" s="23"/>
      <c r="C22" s="69" t="s">
        <v>41</v>
      </c>
      <c r="D22" s="70">
        <v>30000</v>
      </c>
      <c r="E22" s="70">
        <v>0</v>
      </c>
      <c r="F22" s="70">
        <v>0</v>
      </c>
      <c r="G22" s="70">
        <v>0</v>
      </c>
      <c r="H22" s="70">
        <v>0</v>
      </c>
      <c r="I22" s="35"/>
      <c r="J22" s="70">
        <f t="shared" si="2"/>
        <v>30000</v>
      </c>
    </row>
    <row r="23" spans="2:12" ht="45" x14ac:dyDescent="0.25">
      <c r="B23" s="23"/>
      <c r="C23" s="69" t="s">
        <v>42</v>
      </c>
      <c r="D23" s="70">
        <f>20000*4</f>
        <v>80000</v>
      </c>
      <c r="E23" s="70">
        <v>0</v>
      </c>
      <c r="F23" s="70">
        <v>0</v>
      </c>
      <c r="G23" s="70">
        <v>0</v>
      </c>
      <c r="H23" s="70">
        <v>0</v>
      </c>
      <c r="J23" s="70">
        <f t="shared" si="2"/>
        <v>80000</v>
      </c>
    </row>
    <row r="24" spans="2:12" ht="48" customHeight="1" x14ac:dyDescent="0.25">
      <c r="B24" s="23"/>
      <c r="C24" s="69" t="s">
        <v>43</v>
      </c>
      <c r="D24" s="70">
        <f>3000*4</f>
        <v>12000</v>
      </c>
      <c r="E24" s="70">
        <v>0</v>
      </c>
      <c r="F24" s="70">
        <v>0</v>
      </c>
      <c r="G24" s="70">
        <v>0</v>
      </c>
      <c r="H24" s="70">
        <v>0</v>
      </c>
      <c r="J24" s="70">
        <f t="shared" si="2"/>
        <v>12000</v>
      </c>
      <c r="L24" s="34"/>
    </row>
    <row r="25" spans="2:12" ht="33" customHeight="1" x14ac:dyDescent="0.25">
      <c r="B25" s="23"/>
      <c r="C25" s="69" t="s">
        <v>44</v>
      </c>
      <c r="D25" s="70">
        <f>675000*2</f>
        <v>1350000</v>
      </c>
      <c r="E25" s="70">
        <v>0</v>
      </c>
      <c r="F25" s="70">
        <v>0</v>
      </c>
      <c r="G25" s="70">
        <v>0</v>
      </c>
      <c r="H25" s="70">
        <v>0</v>
      </c>
      <c r="J25" s="70">
        <f t="shared" si="2"/>
        <v>1350000</v>
      </c>
    </row>
    <row r="26" spans="2:12" ht="46.5" customHeight="1" x14ac:dyDescent="0.25">
      <c r="B26" s="23"/>
      <c r="C26" s="69" t="s">
        <v>45</v>
      </c>
      <c r="D26" s="70">
        <v>50000</v>
      </c>
      <c r="E26" s="70">
        <v>0</v>
      </c>
      <c r="F26" s="70">
        <v>0</v>
      </c>
      <c r="G26" s="70">
        <v>0</v>
      </c>
      <c r="H26" s="70">
        <v>0</v>
      </c>
      <c r="J26" s="70">
        <f t="shared" si="2"/>
        <v>50000</v>
      </c>
    </row>
    <row r="27" spans="2:12" x14ac:dyDescent="0.25">
      <c r="B27" s="23"/>
      <c r="C27" s="69" t="s">
        <v>46</v>
      </c>
      <c r="D27" s="70">
        <f>675000*2</f>
        <v>1350000</v>
      </c>
      <c r="E27" s="70">
        <v>0</v>
      </c>
      <c r="F27" s="70">
        <v>0</v>
      </c>
      <c r="G27" s="70">
        <v>0</v>
      </c>
      <c r="H27" s="70">
        <v>0</v>
      </c>
      <c r="J27" s="70">
        <f t="shared" si="2"/>
        <v>1350000</v>
      </c>
    </row>
    <row r="28" spans="2:12" ht="30" x14ac:dyDescent="0.25">
      <c r="B28" s="23"/>
      <c r="C28" s="69" t="s">
        <v>47</v>
      </c>
      <c r="D28" s="70">
        <v>535909</v>
      </c>
      <c r="E28" s="70">
        <v>0</v>
      </c>
      <c r="F28" s="70">
        <v>0</v>
      </c>
      <c r="G28" s="70">
        <v>0</v>
      </c>
      <c r="H28" s="70">
        <v>0</v>
      </c>
      <c r="J28" s="70">
        <f t="shared" si="2"/>
        <v>535909</v>
      </c>
    </row>
    <row r="29" spans="2:12" ht="30" x14ac:dyDescent="0.25">
      <c r="B29" s="23"/>
      <c r="C29" s="69" t="s">
        <v>48</v>
      </c>
      <c r="D29" s="70">
        <v>999821</v>
      </c>
      <c r="E29" s="70">
        <v>0</v>
      </c>
      <c r="F29" s="70">
        <v>0</v>
      </c>
      <c r="G29" s="70">
        <v>0</v>
      </c>
      <c r="H29" s="70">
        <v>0</v>
      </c>
      <c r="J29" s="70">
        <f t="shared" si="2"/>
        <v>999821</v>
      </c>
    </row>
    <row r="30" spans="2:12" ht="30" x14ac:dyDescent="0.25">
      <c r="B30" s="23"/>
      <c r="C30" s="69" t="s">
        <v>49</v>
      </c>
      <c r="D30" s="70">
        <f>(130+1699)*4</f>
        <v>7316</v>
      </c>
      <c r="E30" s="70">
        <v>0</v>
      </c>
      <c r="F30" s="70">
        <v>0</v>
      </c>
      <c r="G30" s="70">
        <v>0</v>
      </c>
      <c r="H30" s="70">
        <v>0</v>
      </c>
      <c r="J30" s="70">
        <f t="shared" si="2"/>
        <v>7316</v>
      </c>
    </row>
    <row r="31" spans="2:12" ht="14.25" customHeight="1" x14ac:dyDescent="0.25">
      <c r="B31" s="23" t="s">
        <v>50</v>
      </c>
      <c r="C31" s="69" t="s">
        <v>51</v>
      </c>
      <c r="D31" s="70">
        <f>2199*4</f>
        <v>8796</v>
      </c>
      <c r="E31" s="70">
        <v>0</v>
      </c>
      <c r="F31" s="70">
        <v>0</v>
      </c>
      <c r="G31" s="70">
        <v>0</v>
      </c>
      <c r="H31" s="70">
        <v>0</v>
      </c>
      <c r="J31" s="70">
        <f t="shared" si="2"/>
        <v>8796</v>
      </c>
    </row>
    <row r="32" spans="2:12" x14ac:dyDescent="0.25">
      <c r="B32" s="23"/>
      <c r="C32" s="9" t="s">
        <v>15</v>
      </c>
      <c r="D32" s="73">
        <f>SUM(D21:D31)</f>
        <v>5031842</v>
      </c>
      <c r="E32" s="73">
        <f>SUM(E21:E31)</f>
        <v>0</v>
      </c>
      <c r="F32" s="73">
        <f>SUM(F21:F31)</f>
        <v>0</v>
      </c>
      <c r="G32" s="73">
        <f>SUM(G21:G31)</f>
        <v>0</v>
      </c>
      <c r="H32" s="73">
        <f>SUM(H21:H31)</f>
        <v>0</v>
      </c>
      <c r="J32" s="73">
        <f>SUM(D32:H32)</f>
        <v>5031842</v>
      </c>
    </row>
    <row r="33" spans="2:10" x14ac:dyDescent="0.25">
      <c r="B33" s="23"/>
      <c r="C33" s="14" t="s">
        <v>52</v>
      </c>
      <c r="D33" s="28" t="s">
        <v>36</v>
      </c>
      <c r="E33" s="10"/>
      <c r="F33" s="10"/>
      <c r="G33" s="10"/>
      <c r="H33" s="10"/>
      <c r="J33" s="70"/>
    </row>
    <row r="34" spans="2:10" x14ac:dyDescent="0.25">
      <c r="B34" s="23"/>
      <c r="C34" s="69"/>
      <c r="D34" s="70"/>
      <c r="E34" s="11"/>
      <c r="F34" s="11"/>
      <c r="G34" s="11"/>
      <c r="H34" s="11"/>
      <c r="J34" s="70">
        <f t="shared" si="2"/>
        <v>0</v>
      </c>
    </row>
    <row r="35" spans="2:10" x14ac:dyDescent="0.25">
      <c r="B35" s="23"/>
      <c r="C35" s="9" t="s">
        <v>16</v>
      </c>
      <c r="D35" s="71">
        <f>SUM(D34:D34)</f>
        <v>0</v>
      </c>
      <c r="E35" s="71">
        <f>SUM(E34:E34)</f>
        <v>0</v>
      </c>
      <c r="F35" s="71">
        <f>SUM(F34:F34)</f>
        <v>0</v>
      </c>
      <c r="G35" s="71">
        <f>SUM(G34:G34)</f>
        <v>0</v>
      </c>
      <c r="H35" s="71">
        <f>SUM(H34:H34)</f>
        <v>0</v>
      </c>
      <c r="J35" s="71">
        <f t="shared" si="2"/>
        <v>0</v>
      </c>
    </row>
    <row r="36" spans="2:10" x14ac:dyDescent="0.25">
      <c r="B36" s="23"/>
      <c r="C36" s="14" t="s">
        <v>53</v>
      </c>
      <c r="D36" s="28" t="s">
        <v>36</v>
      </c>
      <c r="E36" s="10"/>
      <c r="F36" s="10"/>
      <c r="G36" s="10"/>
      <c r="H36" s="10"/>
      <c r="J36" s="70"/>
    </row>
    <row r="37" spans="2:10" ht="45.75" customHeight="1" x14ac:dyDescent="0.25">
      <c r="B37" s="23"/>
      <c r="C37" s="69" t="s">
        <v>54</v>
      </c>
      <c r="D37" s="70">
        <f>70000*4</f>
        <v>280000</v>
      </c>
      <c r="E37" s="70">
        <v>0</v>
      </c>
      <c r="F37" s="70">
        <v>0</v>
      </c>
      <c r="G37" s="70">
        <v>0</v>
      </c>
      <c r="H37" s="70">
        <v>0</v>
      </c>
      <c r="J37" s="70">
        <f>SUM(D37:H37)</f>
        <v>280000</v>
      </c>
    </row>
    <row r="38" spans="2:10" ht="60" x14ac:dyDescent="0.25">
      <c r="B38" s="23"/>
      <c r="C38" s="69" t="s">
        <v>55</v>
      </c>
      <c r="D38" s="70">
        <v>1580000</v>
      </c>
      <c r="E38" s="70">
        <v>0</v>
      </c>
      <c r="F38" s="70">
        <v>0</v>
      </c>
      <c r="G38" s="70">
        <v>0</v>
      </c>
      <c r="H38" s="70">
        <v>0</v>
      </c>
      <c r="I38" s="35"/>
      <c r="J38" s="70">
        <f t="shared" si="2"/>
        <v>1580000</v>
      </c>
    </row>
    <row r="39" spans="2:10" ht="30" x14ac:dyDescent="0.25">
      <c r="B39" s="23"/>
      <c r="C39" s="69" t="s">
        <v>56</v>
      </c>
      <c r="D39" s="70">
        <f>65000*4</f>
        <v>260000</v>
      </c>
      <c r="E39" s="70">
        <v>0</v>
      </c>
      <c r="F39" s="70">
        <v>0</v>
      </c>
      <c r="G39" s="70">
        <v>0</v>
      </c>
      <c r="H39" s="70">
        <v>0</v>
      </c>
      <c r="I39" s="35"/>
      <c r="J39" s="70">
        <f>SUM(D39:H39)</f>
        <v>260000</v>
      </c>
    </row>
    <row r="40" spans="2:10" ht="30" x14ac:dyDescent="0.25">
      <c r="B40" s="23"/>
      <c r="C40" s="69" t="s">
        <v>57</v>
      </c>
      <c r="D40" s="70">
        <v>75000</v>
      </c>
      <c r="E40" s="70">
        <v>0</v>
      </c>
      <c r="F40" s="70">
        <v>0</v>
      </c>
      <c r="G40" s="70">
        <v>0</v>
      </c>
      <c r="H40" s="70">
        <v>0</v>
      </c>
      <c r="I40" s="35"/>
      <c r="J40" s="70">
        <f>SUM(D40:H40)</f>
        <v>75000</v>
      </c>
    </row>
    <row r="41" spans="2:10" ht="30" x14ac:dyDescent="0.25">
      <c r="B41" s="23"/>
      <c r="C41" s="69" t="s">
        <v>58</v>
      </c>
      <c r="D41" s="70">
        <v>100000</v>
      </c>
      <c r="E41" s="70">
        <v>0</v>
      </c>
      <c r="F41" s="70">
        <v>0</v>
      </c>
      <c r="G41" s="70">
        <v>0</v>
      </c>
      <c r="H41" s="70">
        <v>0</v>
      </c>
      <c r="I41" s="35"/>
      <c r="J41" s="70">
        <f t="shared" si="2"/>
        <v>100000</v>
      </c>
    </row>
    <row r="42" spans="2:10" ht="63.75" customHeight="1" x14ac:dyDescent="0.25">
      <c r="B42" s="23"/>
      <c r="C42" s="69" t="s">
        <v>59</v>
      </c>
      <c r="D42" s="70">
        <f>30000*4</f>
        <v>120000</v>
      </c>
      <c r="E42" s="70">
        <v>0</v>
      </c>
      <c r="F42" s="70">
        <v>0</v>
      </c>
      <c r="G42" s="70">
        <v>0</v>
      </c>
      <c r="H42" s="70">
        <v>0</v>
      </c>
      <c r="I42" s="35"/>
      <c r="J42" s="70">
        <f t="shared" si="2"/>
        <v>120000</v>
      </c>
    </row>
    <row r="43" spans="2:10" ht="45" x14ac:dyDescent="0.25">
      <c r="B43" s="23"/>
      <c r="C43" s="69" t="s">
        <v>60</v>
      </c>
      <c r="D43" s="70">
        <v>4750000</v>
      </c>
      <c r="E43" s="70">
        <v>0</v>
      </c>
      <c r="F43" s="70">
        <v>0</v>
      </c>
      <c r="G43" s="70">
        <v>0</v>
      </c>
      <c r="H43" s="70">
        <v>0</v>
      </c>
      <c r="I43" s="35"/>
      <c r="J43" s="70">
        <f t="shared" si="2"/>
        <v>4750000</v>
      </c>
    </row>
    <row r="44" spans="2:10" ht="30" x14ac:dyDescent="0.25">
      <c r="B44" s="23"/>
      <c r="C44" s="69" t="s">
        <v>61</v>
      </c>
      <c r="D44" s="70">
        <f>20000*4</f>
        <v>80000</v>
      </c>
      <c r="E44" s="70">
        <v>0</v>
      </c>
      <c r="F44" s="70">
        <v>0</v>
      </c>
      <c r="G44" s="70">
        <v>0</v>
      </c>
      <c r="H44" s="70">
        <v>0</v>
      </c>
      <c r="I44" s="35"/>
      <c r="J44" s="70">
        <f t="shared" si="2"/>
        <v>80000</v>
      </c>
    </row>
    <row r="45" spans="2:10" ht="30" x14ac:dyDescent="0.25">
      <c r="B45" s="23"/>
      <c r="C45" s="69" t="s">
        <v>62</v>
      </c>
      <c r="D45" s="70">
        <v>225000</v>
      </c>
      <c r="E45" s="70">
        <v>0</v>
      </c>
      <c r="F45" s="70">
        <v>0</v>
      </c>
      <c r="G45" s="70">
        <v>0</v>
      </c>
      <c r="H45" s="70">
        <v>0</v>
      </c>
      <c r="I45" s="35"/>
      <c r="J45" s="70">
        <f t="shared" si="2"/>
        <v>225000</v>
      </c>
    </row>
    <row r="46" spans="2:10" ht="47.25" customHeight="1" x14ac:dyDescent="0.25">
      <c r="B46" s="23"/>
      <c r="C46" s="69" t="s">
        <v>63</v>
      </c>
      <c r="D46" s="70">
        <v>150000</v>
      </c>
      <c r="E46" s="70">
        <v>0</v>
      </c>
      <c r="F46" s="70">
        <v>0</v>
      </c>
      <c r="G46" s="70">
        <v>0</v>
      </c>
      <c r="H46" s="70">
        <v>0</v>
      </c>
      <c r="I46" s="35"/>
      <c r="J46" s="70">
        <f t="shared" si="2"/>
        <v>150000</v>
      </c>
    </row>
    <row r="47" spans="2:10" ht="30" x14ac:dyDescent="0.25">
      <c r="B47" s="23"/>
      <c r="C47" s="69" t="s">
        <v>64</v>
      </c>
      <c r="D47" s="70">
        <v>150000</v>
      </c>
      <c r="E47" s="70">
        <v>0</v>
      </c>
      <c r="F47" s="70">
        <v>0</v>
      </c>
      <c r="G47" s="70">
        <v>0</v>
      </c>
      <c r="H47" s="70">
        <v>0</v>
      </c>
      <c r="I47" s="35"/>
      <c r="J47" s="70">
        <f t="shared" si="2"/>
        <v>150000</v>
      </c>
    </row>
    <row r="48" spans="2:10" ht="45" x14ac:dyDescent="0.25">
      <c r="B48" s="23"/>
      <c r="C48" s="69" t="s">
        <v>65</v>
      </c>
      <c r="D48" s="70">
        <f>15000*4</f>
        <v>60000</v>
      </c>
      <c r="E48" s="11">
        <v>0</v>
      </c>
      <c r="F48" s="11">
        <v>0</v>
      </c>
      <c r="G48" s="11">
        <v>0</v>
      </c>
      <c r="H48" s="11">
        <v>0</v>
      </c>
      <c r="J48" s="70">
        <f t="shared" si="2"/>
        <v>60000</v>
      </c>
    </row>
    <row r="49" spans="2:10" x14ac:dyDescent="0.25">
      <c r="B49" s="23"/>
      <c r="C49" s="9" t="s">
        <v>17</v>
      </c>
      <c r="D49" s="71">
        <f>SUM(D37:D48)</f>
        <v>7830000</v>
      </c>
      <c r="E49" s="71">
        <f>SUM(E37:E48)</f>
        <v>0</v>
      </c>
      <c r="F49" s="71">
        <f>SUM(F37:F48)</f>
        <v>0</v>
      </c>
      <c r="G49" s="71">
        <f>SUM(G37:G48)</f>
        <v>0</v>
      </c>
      <c r="H49" s="71">
        <f>SUM(H37:H48)</f>
        <v>0</v>
      </c>
      <c r="J49" s="71">
        <f>SUM(J37:J48)</f>
        <v>7830000</v>
      </c>
    </row>
    <row r="50" spans="2:10" x14ac:dyDescent="0.25">
      <c r="B50" s="23"/>
      <c r="C50" s="14" t="s">
        <v>66</v>
      </c>
      <c r="D50" s="28" t="s">
        <v>36</v>
      </c>
      <c r="E50" s="10"/>
      <c r="F50" s="10"/>
      <c r="G50" s="10"/>
      <c r="H50" s="10"/>
      <c r="J50" s="70">
        <f t="shared" ref="J50:J53" si="3">SUM(D50:H50)</f>
        <v>0</v>
      </c>
    </row>
    <row r="51" spans="2:10" x14ac:dyDescent="0.25">
      <c r="B51" s="23"/>
      <c r="C51" s="69"/>
      <c r="D51" s="70"/>
      <c r="E51" s="11"/>
      <c r="F51" s="11"/>
      <c r="G51" s="11"/>
      <c r="H51" s="11"/>
      <c r="J51" s="70">
        <f t="shared" si="3"/>
        <v>0</v>
      </c>
    </row>
    <row r="52" spans="2:10" x14ac:dyDescent="0.25">
      <c r="B52" s="24"/>
      <c r="C52" s="9" t="s">
        <v>18</v>
      </c>
      <c r="D52" s="71">
        <f>SUM(D51:D51)</f>
        <v>0</v>
      </c>
      <c r="E52" s="71">
        <f>SUM(E51:E51)</f>
        <v>0</v>
      </c>
      <c r="F52" s="71">
        <f>SUM(F51:F51)</f>
        <v>0</v>
      </c>
      <c r="G52" s="71">
        <f>SUM(G51:G51)</f>
        <v>0</v>
      </c>
      <c r="H52" s="71">
        <f>SUM(H51:H51)</f>
        <v>0</v>
      </c>
      <c r="J52" s="71">
        <f>SUM(J51:J51)</f>
        <v>0</v>
      </c>
    </row>
    <row r="53" spans="2:10" x14ac:dyDescent="0.25">
      <c r="B53" s="24"/>
      <c r="C53" s="9" t="s">
        <v>19</v>
      </c>
      <c r="D53" s="71">
        <f>SUM(D52,D49,D35,D32,D19,D16,D11)</f>
        <v>13475323</v>
      </c>
      <c r="E53" s="71">
        <f>SUM(E52,E49,E35,E32,E19,E16,E11)</f>
        <v>631839</v>
      </c>
      <c r="F53" s="71">
        <f>SUM(F52,F49,F35,F32,F19,F16,F11)</f>
        <v>650734</v>
      </c>
      <c r="G53" s="71">
        <f>SUM(G52,G49,G35,G32,G19,G16,G11)</f>
        <v>670315</v>
      </c>
      <c r="H53" s="71">
        <f>SUM(H52,H49,H35,H32,H19,H16,H11)</f>
        <v>685085</v>
      </c>
      <c r="J53" s="71">
        <f t="shared" si="3"/>
        <v>16113296</v>
      </c>
    </row>
    <row r="54" spans="2:10" x14ac:dyDescent="0.25">
      <c r="B54" s="6"/>
      <c r="C54" s="7"/>
      <c r="D54" s="7"/>
      <c r="E54" s="7"/>
      <c r="F54" s="7"/>
      <c r="G54" s="7"/>
      <c r="H54" s="7"/>
      <c r="J54" s="7" t="s">
        <v>20</v>
      </c>
    </row>
    <row r="55" spans="2:10" ht="30" x14ac:dyDescent="0.25">
      <c r="B55" s="68" t="s">
        <v>67</v>
      </c>
      <c r="C55" s="74" t="s">
        <v>131</v>
      </c>
      <c r="D55" s="8"/>
      <c r="E55" s="8"/>
      <c r="F55" s="8"/>
      <c r="G55" s="8"/>
      <c r="H55" s="8"/>
      <c r="J55" s="8" t="s">
        <v>20</v>
      </c>
    </row>
    <row r="56" spans="2:10" x14ac:dyDescent="0.25">
      <c r="B56" s="23"/>
      <c r="C56" s="69"/>
      <c r="D56" s="85">
        <v>90006</v>
      </c>
      <c r="E56" s="84">
        <v>92754</v>
      </c>
      <c r="F56" s="84">
        <v>95528</v>
      </c>
      <c r="G56" s="84">
        <v>98402</v>
      </c>
      <c r="H56" s="84">
        <v>100570</v>
      </c>
      <c r="J56" s="70">
        <f>SUM(D56:H56)</f>
        <v>477260</v>
      </c>
    </row>
    <row r="57" spans="2:10" x14ac:dyDescent="0.25">
      <c r="B57" s="23"/>
      <c r="C57" s="69"/>
      <c r="D57" s="28"/>
      <c r="E57" s="10"/>
      <c r="F57" s="10"/>
      <c r="G57" s="10"/>
      <c r="H57" s="10"/>
      <c r="J57" s="70">
        <f t="shared" ref="J57" si="4">SUM(D57:H57)</f>
        <v>0</v>
      </c>
    </row>
    <row r="58" spans="2:10" x14ac:dyDescent="0.25">
      <c r="B58" s="24"/>
      <c r="C58" s="9" t="s">
        <v>21</v>
      </c>
      <c r="D58" s="71">
        <f>SUM(D56:D57)</f>
        <v>90006</v>
      </c>
      <c r="E58" s="71">
        <f t="shared" ref="E58:H58" si="5">SUM(E56:E57)</f>
        <v>92754</v>
      </c>
      <c r="F58" s="71">
        <f t="shared" si="5"/>
        <v>95528</v>
      </c>
      <c r="G58" s="71">
        <f t="shared" si="5"/>
        <v>98402</v>
      </c>
      <c r="H58" s="71">
        <f t="shared" si="5"/>
        <v>100570</v>
      </c>
      <c r="J58" s="71">
        <f>SUM(J56:J57)</f>
        <v>477260</v>
      </c>
    </row>
    <row r="59" spans="2:10" x14ac:dyDescent="0.25">
      <c r="B59" s="6"/>
      <c r="C59" s="7"/>
      <c r="D59" s="7"/>
      <c r="E59" s="7"/>
      <c r="F59" s="7"/>
      <c r="G59" s="7"/>
      <c r="H59" s="7"/>
      <c r="J59" s="7" t="s">
        <v>20</v>
      </c>
    </row>
    <row r="60" spans="2:10" s="1" customFormat="1" ht="30" x14ac:dyDescent="0.25">
      <c r="B60" s="19" t="s">
        <v>22</v>
      </c>
      <c r="C60" s="19"/>
      <c r="D60" s="75">
        <f>SUM(D58,D53)</f>
        <v>13565329</v>
      </c>
      <c r="E60" s="75">
        <f t="shared" ref="E60:J60" si="6">SUM(E58,E53)</f>
        <v>724593</v>
      </c>
      <c r="F60" s="75">
        <f t="shared" si="6"/>
        <v>746262</v>
      </c>
      <c r="G60" s="75">
        <f t="shared" si="6"/>
        <v>768717</v>
      </c>
      <c r="H60" s="75">
        <f t="shared" si="6"/>
        <v>785655</v>
      </c>
      <c r="I60" s="7"/>
      <c r="J60" s="75">
        <f t="shared" si="6"/>
        <v>16590556</v>
      </c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  <row r="75" spans="2:2" x14ac:dyDescent="0.25">
      <c r="B75" s="6"/>
    </row>
  </sheetData>
  <pageMargins left="0.7" right="0.7" top="0.75" bottom="0.75" header="0.3" footer="0.3"/>
  <pageSetup scale="97" fitToHeight="0" orientation="landscape" r:id="rId1"/>
  <ignoredErrors>
    <ignoredError sqref="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66"/>
  <sheetViews>
    <sheetView showGridLines="0" zoomScale="85" zoomScaleNormal="85" workbookViewId="0">
      <pane xSplit="3" ySplit="6" topLeftCell="D33" activePane="bottomRight" state="frozen"/>
      <selection pane="topRight" activeCell="R20" sqref="R20:W20"/>
      <selection pane="bottomLeft" activeCell="R20" sqref="R20:W20"/>
      <selection pane="bottomRight" activeCell="E44" sqref="E44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7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s="5" customFormat="1" x14ac:dyDescent="0.25">
      <c r="B8" s="83"/>
      <c r="C8" s="69" t="s">
        <v>144</v>
      </c>
      <c r="D8" s="90">
        <v>62400</v>
      </c>
      <c r="E8" s="84">
        <v>64272</v>
      </c>
      <c r="F8" s="84">
        <v>66206</v>
      </c>
      <c r="G8" s="84">
        <v>68182</v>
      </c>
      <c r="H8" s="84">
        <v>70221</v>
      </c>
      <c r="I8" s="7"/>
      <c r="J8" s="70">
        <f t="shared" ref="J8:J9" si="0">SUM(D8:H8)</f>
        <v>331281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2:39" s="5" customFormat="1" x14ac:dyDescent="0.25">
      <c r="B9" s="83"/>
      <c r="C9" s="69" t="s">
        <v>145</v>
      </c>
      <c r="D9" s="84">
        <v>39520</v>
      </c>
      <c r="E9" s="84">
        <v>40706</v>
      </c>
      <c r="F9" s="84">
        <v>41933</v>
      </c>
      <c r="G9" s="84">
        <v>43181</v>
      </c>
      <c r="H9" s="84">
        <v>44470</v>
      </c>
      <c r="I9" s="7"/>
      <c r="J9" s="70">
        <f t="shared" si="0"/>
        <v>209810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2:39" s="5" customFormat="1" ht="30" x14ac:dyDescent="0.25">
      <c r="B10" s="83"/>
      <c r="C10" s="69" t="s">
        <v>143</v>
      </c>
      <c r="D10" s="84">
        <v>17696</v>
      </c>
      <c r="E10" s="84">
        <v>18227</v>
      </c>
      <c r="F10" s="84">
        <v>18801</v>
      </c>
      <c r="G10" s="84">
        <v>19365</v>
      </c>
      <c r="H10" s="84">
        <v>18946</v>
      </c>
      <c r="I10" s="7"/>
      <c r="J10" s="70">
        <v>93035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2:39" s="5" customFormat="1" ht="30" x14ac:dyDescent="0.25">
      <c r="B11" s="83"/>
      <c r="C11" s="69" t="s">
        <v>150</v>
      </c>
      <c r="D11" s="84">
        <v>7000</v>
      </c>
      <c r="E11" s="84">
        <v>7210</v>
      </c>
      <c r="F11" s="84">
        <v>7416</v>
      </c>
      <c r="G11" s="84">
        <v>0</v>
      </c>
      <c r="H11" s="84">
        <v>0</v>
      </c>
      <c r="I11" s="7"/>
      <c r="J11" s="70">
        <v>21626</v>
      </c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</row>
    <row r="12" spans="2:39" x14ac:dyDescent="0.25">
      <c r="B12" s="23"/>
      <c r="C12" s="69" t="s">
        <v>146</v>
      </c>
      <c r="D12" s="70">
        <v>249600</v>
      </c>
      <c r="E12" s="70">
        <v>257088</v>
      </c>
      <c r="F12" s="70">
        <v>264824</v>
      </c>
      <c r="G12" s="70">
        <v>272730</v>
      </c>
      <c r="H12" s="70">
        <v>280884</v>
      </c>
      <c r="I12" s="35">
        <v>450000</v>
      </c>
      <c r="J12" s="70">
        <f>SUM(D12:H12)</f>
        <v>1325126</v>
      </c>
    </row>
    <row r="13" spans="2:39" x14ac:dyDescent="0.25">
      <c r="B13" s="23"/>
      <c r="C13" s="9" t="s">
        <v>12</v>
      </c>
      <c r="D13" s="71">
        <v>376216</v>
      </c>
      <c r="E13" s="71">
        <v>387503</v>
      </c>
      <c r="F13" s="71">
        <v>399180</v>
      </c>
      <c r="G13" s="71">
        <v>403458</v>
      </c>
      <c r="H13" s="71">
        <v>414521</v>
      </c>
      <c r="I13" s="7">
        <f t="shared" ref="I13" si="1">SUM(I12:I12)</f>
        <v>450000</v>
      </c>
      <c r="J13" s="71">
        <v>1980878</v>
      </c>
    </row>
    <row r="14" spans="2:39" x14ac:dyDescent="0.25">
      <c r="B14" s="23"/>
      <c r="C14" s="14" t="s">
        <v>147</v>
      </c>
      <c r="D14" s="28"/>
      <c r="E14" s="10"/>
      <c r="F14" s="10"/>
      <c r="G14" s="10"/>
      <c r="H14" s="10"/>
      <c r="J14" s="8" t="s">
        <v>36</v>
      </c>
    </row>
    <row r="15" spans="2:39" x14ac:dyDescent="0.25">
      <c r="B15" s="23"/>
      <c r="C15" s="87"/>
      <c r="D15" s="88">
        <v>105002</v>
      </c>
      <c r="E15" s="88">
        <v>108152</v>
      </c>
      <c r="F15" s="88">
        <v>111411</v>
      </c>
      <c r="G15" s="88">
        <v>112605</v>
      </c>
      <c r="H15" s="88">
        <v>115693</v>
      </c>
      <c r="I15" s="89"/>
      <c r="J15" s="88">
        <f>SUM(D15:H15)</f>
        <v>552863</v>
      </c>
    </row>
    <row r="16" spans="2:39" x14ac:dyDescent="0.25">
      <c r="B16" s="23"/>
      <c r="C16" s="9" t="s">
        <v>13</v>
      </c>
      <c r="D16" s="71">
        <v>105002</v>
      </c>
      <c r="E16" s="71">
        <f t="shared" ref="E16:J16" si="2">SUM(E15:E15)</f>
        <v>108152</v>
      </c>
      <c r="F16" s="71">
        <f t="shared" si="2"/>
        <v>111411</v>
      </c>
      <c r="G16" s="71">
        <f t="shared" si="2"/>
        <v>112605</v>
      </c>
      <c r="H16" s="71">
        <f t="shared" si="2"/>
        <v>115693</v>
      </c>
      <c r="I16" s="7">
        <f t="shared" si="2"/>
        <v>0</v>
      </c>
      <c r="J16" s="71">
        <f t="shared" si="2"/>
        <v>552863</v>
      </c>
    </row>
    <row r="17" spans="2:10" x14ac:dyDescent="0.25">
      <c r="B17" s="23"/>
      <c r="C17" s="14" t="s">
        <v>38</v>
      </c>
      <c r="D17" s="28" t="s">
        <v>36</v>
      </c>
      <c r="E17" s="10"/>
      <c r="F17" s="10"/>
      <c r="G17" s="10"/>
      <c r="H17" s="10"/>
      <c r="J17" s="8" t="s">
        <v>36</v>
      </c>
    </row>
    <row r="18" spans="2:10" ht="195" x14ac:dyDescent="0.25">
      <c r="B18" s="23"/>
      <c r="C18" s="69" t="s">
        <v>155</v>
      </c>
      <c r="D18" s="70">
        <v>9848</v>
      </c>
      <c r="E18" s="70">
        <v>0</v>
      </c>
      <c r="F18" s="70">
        <v>9848</v>
      </c>
      <c r="G18" s="70">
        <v>0</v>
      </c>
      <c r="H18" s="70">
        <v>0</v>
      </c>
      <c r="J18" s="70">
        <f>SUM(D18:H18)</f>
        <v>19696</v>
      </c>
    </row>
    <row r="19" spans="2:10" x14ac:dyDescent="0.25">
      <c r="B19" s="23"/>
      <c r="C19" s="69" t="s">
        <v>148</v>
      </c>
      <c r="D19" s="70">
        <v>1000</v>
      </c>
      <c r="E19" s="70">
        <v>1100</v>
      </c>
      <c r="F19" s="70">
        <v>1200</v>
      </c>
      <c r="G19" s="70">
        <v>1300</v>
      </c>
      <c r="H19" s="70">
        <v>1400</v>
      </c>
      <c r="J19" s="70">
        <v>6000</v>
      </c>
    </row>
    <row r="20" spans="2:10" x14ac:dyDescent="0.25">
      <c r="B20" s="23"/>
      <c r="C20" s="9" t="s">
        <v>14</v>
      </c>
      <c r="D20" s="71">
        <v>10848</v>
      </c>
      <c r="E20" s="71">
        <v>1100</v>
      </c>
      <c r="F20" s="71">
        <v>11048</v>
      </c>
      <c r="G20" s="71">
        <v>1300</v>
      </c>
      <c r="H20" s="71">
        <v>1400</v>
      </c>
      <c r="J20" s="71">
        <v>25696</v>
      </c>
    </row>
    <row r="21" spans="2:10" x14ac:dyDescent="0.25">
      <c r="B21" s="23"/>
      <c r="C21" s="14" t="s">
        <v>39</v>
      </c>
      <c r="D21" s="70"/>
      <c r="E21" s="10"/>
      <c r="F21" s="10"/>
      <c r="G21" s="10"/>
      <c r="H21" s="10"/>
      <c r="J21" s="70" t="s">
        <v>20</v>
      </c>
    </row>
    <row r="22" spans="2:10" ht="30" x14ac:dyDescent="0.25">
      <c r="B22" s="23"/>
      <c r="C22" s="69" t="s">
        <v>115</v>
      </c>
      <c r="D22" s="70">
        <v>249244</v>
      </c>
      <c r="E22" s="70">
        <v>85000</v>
      </c>
      <c r="F22" s="70">
        <v>0</v>
      </c>
      <c r="G22" s="70">
        <v>0</v>
      </c>
      <c r="H22" s="70">
        <v>0</v>
      </c>
      <c r="J22" s="70">
        <f>SUM(D22:H22)</f>
        <v>334244</v>
      </c>
    </row>
    <row r="23" spans="2:10" x14ac:dyDescent="0.25">
      <c r="B23" s="23"/>
      <c r="C23" s="9" t="s">
        <v>15</v>
      </c>
      <c r="D23" s="73">
        <f>SUM(D22:D22)</f>
        <v>249244</v>
      </c>
      <c r="E23" s="73">
        <f>SUM(E22:E22)</f>
        <v>85000</v>
      </c>
      <c r="F23" s="73">
        <f>SUM(F22:F22)</f>
        <v>0</v>
      </c>
      <c r="G23" s="73">
        <f>SUM(G22:G22)</f>
        <v>0</v>
      </c>
      <c r="H23" s="73">
        <f>SUM(H22:H22)</f>
        <v>0</v>
      </c>
      <c r="J23" s="71">
        <f>SUM(J22:J22)</f>
        <v>334244</v>
      </c>
    </row>
    <row r="24" spans="2:10" x14ac:dyDescent="0.25">
      <c r="B24" s="23"/>
      <c r="C24" s="14" t="s">
        <v>52</v>
      </c>
      <c r="D24" s="28" t="s">
        <v>36</v>
      </c>
      <c r="E24" s="10"/>
      <c r="F24" s="10"/>
      <c r="G24" s="10"/>
      <c r="H24" s="10"/>
      <c r="J24" s="70"/>
    </row>
    <row r="25" spans="2:10" ht="30" x14ac:dyDescent="0.25">
      <c r="B25" s="23"/>
      <c r="C25" s="14" t="s">
        <v>128</v>
      </c>
      <c r="D25" s="86">
        <v>2200</v>
      </c>
      <c r="E25" s="11">
        <v>0</v>
      </c>
      <c r="F25" s="11">
        <v>0</v>
      </c>
      <c r="G25" s="11">
        <v>0</v>
      </c>
      <c r="H25" s="11">
        <v>0</v>
      </c>
      <c r="J25" s="70">
        <v>2200</v>
      </c>
    </row>
    <row r="26" spans="2:10" ht="30" x14ac:dyDescent="0.25">
      <c r="B26" s="23"/>
      <c r="C26" s="14" t="s">
        <v>127</v>
      </c>
      <c r="D26" s="85">
        <v>2700</v>
      </c>
      <c r="E26" s="11">
        <v>0</v>
      </c>
      <c r="F26" s="11">
        <v>0</v>
      </c>
      <c r="G26" s="11">
        <v>0</v>
      </c>
      <c r="H26" s="11">
        <v>0</v>
      </c>
      <c r="J26" s="70">
        <v>2700</v>
      </c>
    </row>
    <row r="27" spans="2:10" ht="30" x14ac:dyDescent="0.25">
      <c r="B27" s="23"/>
      <c r="C27" s="14" t="s">
        <v>126</v>
      </c>
      <c r="D27" s="85">
        <v>4800</v>
      </c>
      <c r="E27" s="11">
        <v>0</v>
      </c>
      <c r="F27" s="11">
        <v>0</v>
      </c>
      <c r="G27" s="11">
        <v>0</v>
      </c>
      <c r="H27" s="11">
        <v>0</v>
      </c>
      <c r="J27" s="70">
        <v>4800</v>
      </c>
    </row>
    <row r="28" spans="2:10" ht="30" x14ac:dyDescent="0.25">
      <c r="B28" s="23"/>
      <c r="C28" s="14" t="s">
        <v>129</v>
      </c>
      <c r="D28" s="85">
        <v>1200</v>
      </c>
      <c r="E28" s="84">
        <v>1200</v>
      </c>
      <c r="F28" s="84">
        <v>1200</v>
      </c>
      <c r="G28" s="84">
        <v>1200</v>
      </c>
      <c r="H28" s="84">
        <v>1200</v>
      </c>
      <c r="J28" s="70">
        <v>6000</v>
      </c>
    </row>
    <row r="29" spans="2:10" x14ac:dyDescent="0.25">
      <c r="B29" s="23"/>
      <c r="C29" s="69" t="s">
        <v>116</v>
      </c>
      <c r="D29" s="70">
        <v>25000</v>
      </c>
      <c r="E29" s="70">
        <v>20000</v>
      </c>
      <c r="F29" s="70">
        <v>20000</v>
      </c>
      <c r="G29" s="70">
        <v>15000</v>
      </c>
      <c r="H29" s="70">
        <v>15000</v>
      </c>
      <c r="I29" s="35">
        <v>5000</v>
      </c>
      <c r="J29" s="70">
        <f t="shared" ref="J29:J44" si="3">SUM(D29:H29)</f>
        <v>95000</v>
      </c>
    </row>
    <row r="30" spans="2:10" x14ac:dyDescent="0.25">
      <c r="B30" s="23"/>
      <c r="C30" s="9" t="s">
        <v>16</v>
      </c>
      <c r="D30" s="71">
        <v>35900</v>
      </c>
      <c r="E30" s="71">
        <v>21200</v>
      </c>
      <c r="F30" s="71">
        <v>21200</v>
      </c>
      <c r="G30" s="71">
        <v>16200</v>
      </c>
      <c r="H30" s="71">
        <v>16200</v>
      </c>
      <c r="J30" s="71">
        <v>110700</v>
      </c>
    </row>
    <row r="31" spans="2:10" x14ac:dyDescent="0.25">
      <c r="B31" s="23"/>
      <c r="C31" s="14" t="s">
        <v>53</v>
      </c>
      <c r="D31" s="28" t="s">
        <v>36</v>
      </c>
      <c r="E31" s="10"/>
      <c r="F31" s="10"/>
      <c r="G31" s="10"/>
      <c r="H31" s="10"/>
      <c r="J31" s="70"/>
    </row>
    <row r="32" spans="2:10" ht="75" x14ac:dyDescent="0.25">
      <c r="B32" s="23"/>
      <c r="C32" s="28" t="s">
        <v>68</v>
      </c>
      <c r="D32" s="70">
        <v>0</v>
      </c>
      <c r="E32" s="70">
        <f>10890934/4</f>
        <v>2722733.5</v>
      </c>
      <c r="F32" s="70">
        <f t="shared" ref="F32:H32" si="4">10890934/4</f>
        <v>2722733.5</v>
      </c>
      <c r="G32" s="70">
        <f t="shared" si="4"/>
        <v>2722733.5</v>
      </c>
      <c r="H32" s="70">
        <f t="shared" si="4"/>
        <v>2722733.5</v>
      </c>
      <c r="I32" s="35"/>
      <c r="J32" s="70">
        <f t="shared" si="3"/>
        <v>10890934</v>
      </c>
    </row>
    <row r="33" spans="2:10" ht="75" x14ac:dyDescent="0.25">
      <c r="B33" s="23"/>
      <c r="C33" s="28" t="s">
        <v>69</v>
      </c>
      <c r="D33" s="70">
        <v>0</v>
      </c>
      <c r="E33" s="70">
        <v>372655</v>
      </c>
      <c r="F33" s="70">
        <v>372655</v>
      </c>
      <c r="G33" s="70">
        <v>372655</v>
      </c>
      <c r="H33" s="70">
        <v>372655</v>
      </c>
      <c r="I33" s="35">
        <v>1490620</v>
      </c>
      <c r="J33" s="70">
        <v>1490620</v>
      </c>
    </row>
    <row r="34" spans="2:10" ht="75" x14ac:dyDescent="0.25">
      <c r="B34" s="23"/>
      <c r="C34" s="28" t="s">
        <v>149</v>
      </c>
      <c r="D34" s="70">
        <v>400020</v>
      </c>
      <c r="E34" s="70">
        <v>0</v>
      </c>
      <c r="F34" s="70">
        <v>0</v>
      </c>
      <c r="G34" s="70">
        <v>0</v>
      </c>
      <c r="H34" s="70">
        <v>0</v>
      </c>
      <c r="I34" s="35"/>
      <c r="J34" s="70">
        <v>400020</v>
      </c>
    </row>
    <row r="35" spans="2:10" ht="75.75" customHeight="1" x14ac:dyDescent="0.25">
      <c r="B35" s="23"/>
      <c r="C35" s="28" t="s">
        <v>156</v>
      </c>
      <c r="D35" s="70">
        <v>15320</v>
      </c>
      <c r="E35" s="70">
        <v>372655</v>
      </c>
      <c r="F35" s="70">
        <v>372655</v>
      </c>
      <c r="G35" s="70">
        <v>372655</v>
      </c>
      <c r="H35" s="70">
        <v>372655</v>
      </c>
      <c r="I35" s="35"/>
      <c r="J35" s="70">
        <f t="shared" si="3"/>
        <v>1505940</v>
      </c>
    </row>
    <row r="36" spans="2:10" ht="30" x14ac:dyDescent="0.25">
      <c r="B36" s="23"/>
      <c r="C36" s="91" t="s">
        <v>158</v>
      </c>
      <c r="D36" s="70">
        <v>20970</v>
      </c>
      <c r="E36" s="70">
        <v>0</v>
      </c>
      <c r="F36" s="70">
        <v>0</v>
      </c>
      <c r="G36" s="70">
        <v>0</v>
      </c>
      <c r="H36" s="70">
        <v>0</v>
      </c>
      <c r="I36" s="35"/>
      <c r="J36" s="70">
        <f t="shared" si="3"/>
        <v>20970</v>
      </c>
    </row>
    <row r="37" spans="2:10" x14ac:dyDescent="0.25">
      <c r="B37" s="23"/>
      <c r="C37" s="69" t="s">
        <v>157</v>
      </c>
      <c r="D37" s="70">
        <v>4570</v>
      </c>
      <c r="E37" s="11">
        <v>0</v>
      </c>
      <c r="F37" s="11">
        <v>0</v>
      </c>
      <c r="G37" s="11">
        <v>0</v>
      </c>
      <c r="H37" s="11">
        <v>0</v>
      </c>
      <c r="J37" s="70">
        <f t="shared" si="3"/>
        <v>4570</v>
      </c>
    </row>
    <row r="38" spans="2:10" x14ac:dyDescent="0.25">
      <c r="B38" s="23"/>
      <c r="C38" s="9" t="s">
        <v>17</v>
      </c>
      <c r="D38" s="71">
        <v>435854</v>
      </c>
      <c r="E38" s="71">
        <f>SUM(E32:E37)</f>
        <v>3468043.5</v>
      </c>
      <c r="F38" s="71">
        <f>SUM(F32:F37)</f>
        <v>3468043.5</v>
      </c>
      <c r="G38" s="71">
        <f>SUM(G32:G37)</f>
        <v>3468043.5</v>
      </c>
      <c r="H38" s="71">
        <f>SUM(H32:H37)</f>
        <v>3468043.5</v>
      </c>
      <c r="J38" s="71">
        <f>SUM(J32:J37)</f>
        <v>14313054</v>
      </c>
    </row>
    <row r="39" spans="2:10" x14ac:dyDescent="0.25">
      <c r="B39" s="23"/>
      <c r="C39" s="14" t="s">
        <v>66</v>
      </c>
      <c r="D39" s="28" t="s">
        <v>36</v>
      </c>
      <c r="E39" s="10"/>
      <c r="F39" s="10"/>
      <c r="G39" s="10"/>
      <c r="H39" s="10"/>
      <c r="J39" s="70"/>
    </row>
    <row r="40" spans="2:10" x14ac:dyDescent="0.25">
      <c r="B40" s="23"/>
      <c r="C40" s="69" t="s">
        <v>117</v>
      </c>
      <c r="D40" s="70">
        <v>5000</v>
      </c>
      <c r="E40" s="70">
        <v>5000</v>
      </c>
      <c r="F40" s="70">
        <v>5000</v>
      </c>
      <c r="G40" s="70">
        <v>5000</v>
      </c>
      <c r="H40" s="70">
        <v>5000</v>
      </c>
      <c r="I40" s="35">
        <v>375000</v>
      </c>
      <c r="J40" s="70">
        <f t="shared" si="3"/>
        <v>25000</v>
      </c>
    </row>
    <row r="41" spans="2:10" x14ac:dyDescent="0.25">
      <c r="B41" s="23"/>
      <c r="C41" s="69" t="s">
        <v>118</v>
      </c>
      <c r="D41" s="70">
        <v>0</v>
      </c>
      <c r="E41" s="70">
        <v>4500</v>
      </c>
      <c r="F41" s="70">
        <v>0</v>
      </c>
      <c r="G41" s="70">
        <v>4500</v>
      </c>
      <c r="H41" s="70">
        <v>0</v>
      </c>
      <c r="I41" s="35">
        <v>781250</v>
      </c>
      <c r="J41" s="70">
        <f t="shared" si="3"/>
        <v>9000</v>
      </c>
    </row>
    <row r="42" spans="2:10" x14ac:dyDescent="0.25">
      <c r="B42" s="23"/>
      <c r="C42" s="69" t="s">
        <v>119</v>
      </c>
      <c r="D42" s="70">
        <v>0</v>
      </c>
      <c r="E42" s="70">
        <v>4400</v>
      </c>
      <c r="F42" s="70">
        <v>4000</v>
      </c>
      <c r="G42" s="70">
        <v>4000</v>
      </c>
      <c r="H42" s="70">
        <v>4000</v>
      </c>
      <c r="I42" s="35">
        <v>2083335</v>
      </c>
      <c r="J42" s="70">
        <f t="shared" si="3"/>
        <v>16400</v>
      </c>
    </row>
    <row r="43" spans="2:10" x14ac:dyDescent="0.25">
      <c r="B43" s="24"/>
      <c r="C43" s="9" t="s">
        <v>18</v>
      </c>
      <c r="D43" s="71">
        <f>SUM(D40:D42)</f>
        <v>5000</v>
      </c>
      <c r="E43" s="71">
        <f>SUM(E40:E42)</f>
        <v>13900</v>
      </c>
      <c r="F43" s="71">
        <f>SUM(F40:F42)</f>
        <v>9000</v>
      </c>
      <c r="G43" s="71">
        <f>SUM(G40:G42)</f>
        <v>13500</v>
      </c>
      <c r="H43" s="71">
        <f>SUM(H40:H42)</f>
        <v>9000</v>
      </c>
      <c r="J43" s="71">
        <f>SUM(J40:J42)</f>
        <v>50400</v>
      </c>
    </row>
    <row r="44" spans="2:10" x14ac:dyDescent="0.25">
      <c r="B44" s="24"/>
      <c r="C44" s="9" t="s">
        <v>19</v>
      </c>
      <c r="D44" s="71">
        <f>SUM(D43,D38,D30,D23,D20,D16,D13)</f>
        <v>1218064</v>
      </c>
      <c r="E44" s="71">
        <f>SUM(E43,E38,E30,E23,E20,E16,E13)</f>
        <v>4084898.5</v>
      </c>
      <c r="F44" s="71">
        <f>SUM(F43,F38,F30,F23,F20,F16,F13)</f>
        <v>4019882.5</v>
      </c>
      <c r="G44" s="71">
        <f>SUM(G43,G38,G30,G23,G20,G16,G13)</f>
        <v>4015106.5</v>
      </c>
      <c r="H44" s="71">
        <f>SUM(H43,H38,H30,H23,H20,H16,H13)</f>
        <v>4024857.5</v>
      </c>
      <c r="J44" s="71">
        <f t="shared" si="3"/>
        <v>17362809</v>
      </c>
    </row>
    <row r="45" spans="2:10" x14ac:dyDescent="0.25">
      <c r="B45" s="6"/>
      <c r="C45" s="7"/>
      <c r="D45" s="7"/>
      <c r="E45" s="7"/>
      <c r="F45" s="7"/>
      <c r="G45" s="7"/>
      <c r="H45" s="7"/>
      <c r="J45" s="7" t="s">
        <v>20</v>
      </c>
    </row>
    <row r="46" spans="2:10" x14ac:dyDescent="0.25">
      <c r="B46" s="22" t="s">
        <v>67</v>
      </c>
      <c r="C46" s="74" t="s">
        <v>130</v>
      </c>
      <c r="D46" s="8"/>
      <c r="E46" s="8"/>
      <c r="F46" s="8"/>
      <c r="G46" s="8"/>
      <c r="H46" s="8"/>
      <c r="J46" s="8" t="s">
        <v>20</v>
      </c>
    </row>
    <row r="47" spans="2:10" x14ac:dyDescent="0.25">
      <c r="B47" s="23"/>
      <c r="C47" s="69"/>
      <c r="D47" s="85">
        <v>78239</v>
      </c>
      <c r="E47" s="10">
        <v>78076</v>
      </c>
      <c r="F47" s="10">
        <v>81010</v>
      </c>
      <c r="G47" s="10">
        <v>77931</v>
      </c>
      <c r="H47" s="10">
        <v>81740</v>
      </c>
      <c r="J47" s="70">
        <f>SUM(D47:H47)</f>
        <v>396996</v>
      </c>
    </row>
    <row r="48" spans="2:10" x14ac:dyDescent="0.25">
      <c r="B48" s="23"/>
      <c r="C48" s="69"/>
      <c r="D48" s="28"/>
      <c r="E48" s="10"/>
      <c r="F48" s="10"/>
      <c r="G48" s="10"/>
      <c r="H48" s="10"/>
      <c r="J48" s="70">
        <f t="shared" ref="J48:J49" si="5">SUM(D48:H48)</f>
        <v>0</v>
      </c>
    </row>
    <row r="49" spans="2:10" x14ac:dyDescent="0.25">
      <c r="B49" s="24"/>
      <c r="C49" s="9" t="s">
        <v>21</v>
      </c>
      <c r="D49" s="71">
        <v>78239</v>
      </c>
      <c r="E49" s="71">
        <v>78076</v>
      </c>
      <c r="F49" s="71">
        <f t="shared" ref="F49:H49" si="6">SUM(F47:F48)</f>
        <v>81010</v>
      </c>
      <c r="G49" s="71">
        <f t="shared" si="6"/>
        <v>77931</v>
      </c>
      <c r="H49" s="71">
        <f t="shared" si="6"/>
        <v>81740</v>
      </c>
      <c r="J49" s="71">
        <f t="shared" si="5"/>
        <v>396996</v>
      </c>
    </row>
    <row r="50" spans="2:10" ht="15.75" thickBot="1" x14ac:dyDescent="0.3">
      <c r="B50" s="6"/>
      <c r="C50" s="7"/>
      <c r="D50" s="7"/>
      <c r="E50" s="7"/>
      <c r="F50" s="7"/>
      <c r="G50" s="7"/>
      <c r="H50" s="7"/>
      <c r="J50" s="7" t="s">
        <v>20</v>
      </c>
    </row>
    <row r="51" spans="2:10" s="1" customFormat="1" ht="30" x14ac:dyDescent="0.25">
      <c r="B51" s="19" t="s">
        <v>22</v>
      </c>
      <c r="C51" s="19"/>
      <c r="D51" s="75">
        <f>SUM(D49,D44)</f>
        <v>1296303</v>
      </c>
      <c r="E51" s="75">
        <f t="shared" ref="E51:J51" si="7">SUM(E49,E44)</f>
        <v>4162974.5</v>
      </c>
      <c r="F51" s="75">
        <f t="shared" si="7"/>
        <v>4100892.5</v>
      </c>
      <c r="G51" s="75">
        <f t="shared" si="7"/>
        <v>4093037.5</v>
      </c>
      <c r="H51" s="75">
        <f t="shared" si="7"/>
        <v>4106597.5</v>
      </c>
      <c r="I51" s="7">
        <f>SUM(I49,I44)</f>
        <v>0</v>
      </c>
      <c r="J51" s="75">
        <f t="shared" si="7"/>
        <v>17759805</v>
      </c>
    </row>
    <row r="52" spans="2:10" x14ac:dyDescent="0.25">
      <c r="B52" s="6"/>
    </row>
    <row r="53" spans="2:10" x14ac:dyDescent="0.25">
      <c r="B53" s="6"/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</sheetData>
  <pageMargins left="0.7" right="0.7" top="0.75" bottom="0.75" header="0.3" footer="0.3"/>
  <pageSetup scale="89" fitToHeight="0" orientation="landscape" r:id="rId1"/>
  <ignoredErrors>
    <ignoredError sqref="J12 J29 J40:J42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56"/>
  <sheetViews>
    <sheetView showGridLines="0" zoomScale="85" zoomScaleNormal="85" workbookViewId="0">
      <pane xSplit="3" ySplit="6" topLeftCell="D15" activePane="bottomRight" state="frozen"/>
      <selection pane="topRight" activeCell="R20" sqref="R20:W20"/>
      <selection pane="bottomLeft" activeCell="R20" sqref="R20:W20"/>
      <selection pane="bottomRight" activeCell="E40" sqref="E40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7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  <col min="12" max="12" width="13.42578125" customWidth="1"/>
  </cols>
  <sheetData>
    <row r="2" spans="2:39" ht="23.25" x14ac:dyDescent="0.35">
      <c r="B2" s="30" t="s">
        <v>33</v>
      </c>
    </row>
    <row r="3" spans="2:39" x14ac:dyDescent="0.25">
      <c r="B3" s="62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5" x14ac:dyDescent="0.25">
      <c r="B8" s="23"/>
      <c r="C8" s="69" t="s">
        <v>133</v>
      </c>
      <c r="D8" s="70">
        <v>45760</v>
      </c>
      <c r="E8" s="70">
        <v>47133</v>
      </c>
      <c r="F8" s="70">
        <v>48422</v>
      </c>
      <c r="G8" s="70">
        <v>49878</v>
      </c>
      <c r="H8" s="70">
        <v>51376</v>
      </c>
      <c r="I8" s="35">
        <v>450000</v>
      </c>
      <c r="J8" s="70">
        <f>SUM(D8:H8)</f>
        <v>242569</v>
      </c>
    </row>
    <row r="9" spans="2:39" ht="45" x14ac:dyDescent="0.25">
      <c r="B9" s="23"/>
      <c r="C9" s="69" t="s">
        <v>140</v>
      </c>
      <c r="D9" s="70">
        <v>2250</v>
      </c>
      <c r="E9" s="70">
        <v>2250</v>
      </c>
      <c r="F9" s="70">
        <v>2250</v>
      </c>
      <c r="G9" s="70">
        <v>2250</v>
      </c>
      <c r="H9" s="70">
        <v>2250</v>
      </c>
      <c r="I9" s="35"/>
      <c r="J9" s="70">
        <v>11250</v>
      </c>
    </row>
    <row r="10" spans="2:39" x14ac:dyDescent="0.25">
      <c r="B10" s="23"/>
      <c r="C10" s="9" t="s">
        <v>12</v>
      </c>
      <c r="D10" s="71">
        <v>48010</v>
      </c>
      <c r="E10" s="71">
        <v>49383</v>
      </c>
      <c r="F10" s="71">
        <v>50672</v>
      </c>
      <c r="G10" s="71">
        <v>52128</v>
      </c>
      <c r="H10" s="71">
        <v>53626</v>
      </c>
      <c r="I10" s="7">
        <f t="shared" ref="I10" si="0">SUM(I8:I8)</f>
        <v>450000</v>
      </c>
      <c r="J10" s="71">
        <v>253819</v>
      </c>
    </row>
    <row r="11" spans="2:39" ht="60" x14ac:dyDescent="0.25">
      <c r="B11" s="23"/>
      <c r="C11" s="10" t="s">
        <v>139</v>
      </c>
      <c r="D11" s="70">
        <v>13400</v>
      </c>
      <c r="E11" s="70">
        <v>13783</v>
      </c>
      <c r="F11" s="70">
        <v>14143</v>
      </c>
      <c r="G11" s="70">
        <v>14549</v>
      </c>
      <c r="H11" s="70">
        <v>14967</v>
      </c>
      <c r="J11" s="70">
        <f>SUM(D11:H11)</f>
        <v>70842</v>
      </c>
    </row>
    <row r="12" spans="2:39" x14ac:dyDescent="0.25">
      <c r="B12" s="23"/>
      <c r="C12" s="9" t="s">
        <v>13</v>
      </c>
      <c r="D12" s="71">
        <f t="shared" ref="D12:I12" si="1">SUM(D11)</f>
        <v>13400</v>
      </c>
      <c r="E12" s="71">
        <f t="shared" si="1"/>
        <v>13783</v>
      </c>
      <c r="F12" s="71">
        <f t="shared" si="1"/>
        <v>14143</v>
      </c>
      <c r="G12" s="71">
        <f t="shared" si="1"/>
        <v>14549</v>
      </c>
      <c r="H12" s="71">
        <f t="shared" si="1"/>
        <v>14967</v>
      </c>
      <c r="I12" s="71">
        <f t="shared" si="1"/>
        <v>0</v>
      </c>
      <c r="J12" s="71">
        <f t="shared" ref="J12" si="2">SUM(J11)</f>
        <v>70842</v>
      </c>
    </row>
    <row r="13" spans="2:39" ht="45" x14ac:dyDescent="0.25">
      <c r="B13" s="23"/>
      <c r="C13" s="14" t="s">
        <v>142</v>
      </c>
      <c r="D13" s="70">
        <v>780</v>
      </c>
      <c r="E13" s="70">
        <v>780</v>
      </c>
      <c r="F13" s="70">
        <v>780</v>
      </c>
      <c r="G13" s="70">
        <v>780</v>
      </c>
      <c r="H13" s="70">
        <v>780</v>
      </c>
      <c r="J13" s="70">
        <f>SUM(D13:H13)</f>
        <v>3900</v>
      </c>
    </row>
    <row r="14" spans="2:39" x14ac:dyDescent="0.25">
      <c r="B14" s="23"/>
      <c r="C14" s="14" t="s">
        <v>162</v>
      </c>
      <c r="D14" s="70">
        <v>780</v>
      </c>
      <c r="E14" s="70">
        <v>780</v>
      </c>
      <c r="F14" s="70">
        <v>780</v>
      </c>
      <c r="G14" s="70">
        <v>780</v>
      </c>
      <c r="H14" s="70">
        <v>780</v>
      </c>
      <c r="J14" s="92">
        <v>3900</v>
      </c>
    </row>
    <row r="15" spans="2:39" x14ac:dyDescent="0.25">
      <c r="B15" s="23"/>
      <c r="C15" s="14" t="s">
        <v>39</v>
      </c>
      <c r="D15" s="70"/>
      <c r="E15" s="10"/>
      <c r="F15" s="10"/>
      <c r="G15" s="10"/>
      <c r="H15" s="10"/>
      <c r="J15" s="70" t="s">
        <v>20</v>
      </c>
    </row>
    <row r="16" spans="2:39" x14ac:dyDescent="0.25">
      <c r="B16" s="23"/>
      <c r="C16" s="69" t="s">
        <v>70</v>
      </c>
      <c r="D16" s="70">
        <f>4695*30</f>
        <v>140850</v>
      </c>
      <c r="E16" s="70">
        <f>4695*130</f>
        <v>610350</v>
      </c>
      <c r="F16" s="70">
        <f>4695*140</f>
        <v>657300</v>
      </c>
      <c r="G16" s="70">
        <v>0</v>
      </c>
      <c r="H16" s="70">
        <v>0</v>
      </c>
      <c r="J16" s="70">
        <f t="shared" ref="J16:J22" si="3">SUM(D16:H16)</f>
        <v>1408500</v>
      </c>
    </row>
    <row r="17" spans="2:12" x14ac:dyDescent="0.25">
      <c r="B17" s="23"/>
      <c r="C17" s="69" t="s">
        <v>71</v>
      </c>
      <c r="D17" s="70">
        <f>200*30</f>
        <v>6000</v>
      </c>
      <c r="E17" s="70">
        <f>200*130</f>
        <v>26000</v>
      </c>
      <c r="F17" s="70">
        <f>200*140</f>
        <v>28000</v>
      </c>
      <c r="G17" s="70">
        <v>0</v>
      </c>
      <c r="H17" s="70">
        <v>0</v>
      </c>
      <c r="J17" s="70">
        <f t="shared" si="3"/>
        <v>60000</v>
      </c>
      <c r="L17" s="34"/>
    </row>
    <row r="18" spans="2:12" x14ac:dyDescent="0.25">
      <c r="B18" s="23"/>
      <c r="C18" s="69" t="s">
        <v>72</v>
      </c>
      <c r="D18" s="70">
        <f>1500*30</f>
        <v>45000</v>
      </c>
      <c r="E18" s="70">
        <f>1500*130</f>
        <v>195000</v>
      </c>
      <c r="F18" s="70">
        <f>1500*140</f>
        <v>210000</v>
      </c>
      <c r="G18" s="70">
        <v>0</v>
      </c>
      <c r="H18" s="70">
        <v>0</v>
      </c>
      <c r="J18" s="70">
        <f t="shared" si="3"/>
        <v>450000</v>
      </c>
      <c r="L18" s="34"/>
    </row>
    <row r="19" spans="2:12" x14ac:dyDescent="0.25">
      <c r="B19" s="23"/>
      <c r="C19" s="69" t="s">
        <v>135</v>
      </c>
      <c r="D19" s="70">
        <v>9145</v>
      </c>
      <c r="E19" s="70">
        <v>0</v>
      </c>
      <c r="F19" s="70">
        <v>0</v>
      </c>
      <c r="G19" s="70">
        <v>0</v>
      </c>
      <c r="H19" s="70">
        <v>0</v>
      </c>
      <c r="J19" s="70">
        <f t="shared" si="3"/>
        <v>9145</v>
      </c>
    </row>
    <row r="20" spans="2:12" x14ac:dyDescent="0.25">
      <c r="B20" s="23"/>
      <c r="C20" s="69" t="s">
        <v>134</v>
      </c>
      <c r="D20" s="70">
        <v>10995</v>
      </c>
      <c r="E20" s="70">
        <v>0</v>
      </c>
      <c r="F20" s="70">
        <v>0</v>
      </c>
      <c r="G20" s="70">
        <v>0</v>
      </c>
      <c r="H20" s="70">
        <v>0</v>
      </c>
      <c r="J20" s="70">
        <f t="shared" si="3"/>
        <v>10995</v>
      </c>
    </row>
    <row r="21" spans="2:12" ht="45" x14ac:dyDescent="0.25">
      <c r="B21" s="23" t="s">
        <v>50</v>
      </c>
      <c r="C21" s="69" t="s">
        <v>73</v>
      </c>
      <c r="D21" s="70">
        <v>58283</v>
      </c>
      <c r="E21" s="70">
        <v>0</v>
      </c>
      <c r="F21" s="70">
        <v>0</v>
      </c>
      <c r="G21" s="70">
        <v>0</v>
      </c>
      <c r="H21" s="70">
        <v>0</v>
      </c>
      <c r="J21" s="70">
        <f t="shared" si="3"/>
        <v>58283</v>
      </c>
    </row>
    <row r="22" spans="2:12" x14ac:dyDescent="0.25">
      <c r="B22" s="23"/>
      <c r="C22" s="9" t="s">
        <v>15</v>
      </c>
      <c r="D22" s="73">
        <f>SUM(D16:D21)</f>
        <v>270273</v>
      </c>
      <c r="E22" s="73">
        <f>SUM(E16:E21)</f>
        <v>831350</v>
      </c>
      <c r="F22" s="73">
        <f>SUM(F16:F21)</f>
        <v>895300</v>
      </c>
      <c r="G22" s="73">
        <f>SUM(G16:G21)</f>
        <v>0</v>
      </c>
      <c r="H22" s="73">
        <f>SUM(H16:H21)</f>
        <v>0</v>
      </c>
      <c r="J22" s="71">
        <f t="shared" si="3"/>
        <v>1996923</v>
      </c>
    </row>
    <row r="23" spans="2:12" x14ac:dyDescent="0.25">
      <c r="B23" s="23"/>
      <c r="C23" s="14" t="s">
        <v>137</v>
      </c>
      <c r="D23" s="28">
        <v>1200</v>
      </c>
      <c r="E23" s="10">
        <v>1200</v>
      </c>
      <c r="F23" s="10">
        <v>1200</v>
      </c>
      <c r="G23" s="10">
        <v>1200</v>
      </c>
      <c r="H23" s="10">
        <v>1200</v>
      </c>
      <c r="J23" s="70">
        <v>6000</v>
      </c>
    </row>
    <row r="24" spans="2:12" x14ac:dyDescent="0.25">
      <c r="B24" s="23"/>
      <c r="C24" s="69" t="s">
        <v>138</v>
      </c>
      <c r="D24" s="70">
        <v>1200</v>
      </c>
      <c r="E24" s="70">
        <v>0</v>
      </c>
      <c r="F24" s="70">
        <v>0</v>
      </c>
      <c r="G24" s="70">
        <v>0</v>
      </c>
      <c r="H24" s="70">
        <v>0</v>
      </c>
      <c r="I24" s="35">
        <v>5000</v>
      </c>
      <c r="J24" s="70">
        <f t="shared" ref="J24:J33" si="4">SUM(D24:H24)</f>
        <v>1200</v>
      </c>
    </row>
    <row r="25" spans="2:12" x14ac:dyDescent="0.25">
      <c r="B25" s="23"/>
      <c r="C25" s="9" t="s">
        <v>16</v>
      </c>
      <c r="D25" s="71">
        <v>2400</v>
      </c>
      <c r="E25" s="71">
        <v>1200</v>
      </c>
      <c r="F25" s="71">
        <v>1200</v>
      </c>
      <c r="G25" s="71">
        <v>1200</v>
      </c>
      <c r="H25" s="71">
        <v>1200</v>
      </c>
      <c r="J25" s="71">
        <v>7200</v>
      </c>
    </row>
    <row r="26" spans="2:12" x14ac:dyDescent="0.25">
      <c r="B26" s="23"/>
      <c r="C26" s="14" t="s">
        <v>53</v>
      </c>
      <c r="D26" s="28" t="s">
        <v>36</v>
      </c>
      <c r="E26" s="10"/>
      <c r="F26" s="10"/>
      <c r="G26" s="10"/>
      <c r="H26" s="10"/>
      <c r="J26" s="70"/>
    </row>
    <row r="27" spans="2:12" ht="30" x14ac:dyDescent="0.25">
      <c r="B27" s="23"/>
      <c r="C27" s="69" t="s">
        <v>74</v>
      </c>
      <c r="D27" s="70">
        <f>1000*30</f>
        <v>30000</v>
      </c>
      <c r="E27" s="70">
        <f>1000*130</f>
        <v>130000</v>
      </c>
      <c r="F27" s="70">
        <f>1000*140</f>
        <v>140000</v>
      </c>
      <c r="G27" s="70">
        <v>0</v>
      </c>
      <c r="H27" s="70">
        <v>0</v>
      </c>
      <c r="I27" s="35">
        <v>375000</v>
      </c>
      <c r="J27" s="70">
        <v>300000</v>
      </c>
    </row>
    <row r="28" spans="2:12" ht="33.75" customHeight="1" x14ac:dyDescent="0.25">
      <c r="B28" s="23"/>
      <c r="C28" s="69" t="s">
        <v>132</v>
      </c>
      <c r="D28" s="70">
        <v>20000</v>
      </c>
      <c r="E28" s="70">
        <v>0</v>
      </c>
      <c r="F28" s="70">
        <v>0</v>
      </c>
      <c r="G28" s="70">
        <v>0</v>
      </c>
      <c r="H28" s="70">
        <v>0</v>
      </c>
      <c r="I28" s="35">
        <v>22500000</v>
      </c>
      <c r="J28" s="70">
        <f t="shared" si="4"/>
        <v>20000</v>
      </c>
    </row>
    <row r="29" spans="2:12" x14ac:dyDescent="0.25">
      <c r="B29" s="23"/>
      <c r="C29" s="9" t="s">
        <v>17</v>
      </c>
      <c r="D29" s="71">
        <f>SUM(D27:D28)</f>
        <v>50000</v>
      </c>
      <c r="E29" s="71">
        <f>SUM(E27:E28)</f>
        <v>130000</v>
      </c>
      <c r="F29" s="71">
        <f>SUM(F27:F28)</f>
        <v>140000</v>
      </c>
      <c r="G29" s="71">
        <f>SUM(G27:G28)</f>
        <v>0</v>
      </c>
      <c r="H29" s="71">
        <f>SUM(H27:H28)</f>
        <v>0</v>
      </c>
      <c r="J29" s="71">
        <f>SUM(D29:H29)</f>
        <v>320000</v>
      </c>
    </row>
    <row r="30" spans="2:12" x14ac:dyDescent="0.25">
      <c r="B30" s="23"/>
      <c r="C30" s="14" t="s">
        <v>66</v>
      </c>
      <c r="D30" s="28" t="s">
        <v>36</v>
      </c>
      <c r="E30" s="10"/>
      <c r="F30" s="10"/>
      <c r="G30" s="10"/>
      <c r="H30" s="10"/>
      <c r="J30" s="70"/>
    </row>
    <row r="31" spans="2:12" x14ac:dyDescent="0.25">
      <c r="B31" s="23"/>
      <c r="D31"/>
      <c r="E31"/>
      <c r="H31"/>
      <c r="I31"/>
    </row>
    <row r="32" spans="2:12" x14ac:dyDescent="0.25">
      <c r="B32" s="23"/>
      <c r="C32" s="69"/>
      <c r="D32" s="70"/>
      <c r="E32" s="70"/>
      <c r="F32" s="70"/>
      <c r="G32" s="70"/>
      <c r="H32" s="70"/>
      <c r="I32" s="35"/>
      <c r="J32" s="70">
        <v>0</v>
      </c>
    </row>
    <row r="33" spans="2:10" x14ac:dyDescent="0.25">
      <c r="B33" s="24"/>
      <c r="C33" s="9" t="s">
        <v>18</v>
      </c>
      <c r="D33" s="71">
        <f>SUM(D31:D32)</f>
        <v>0</v>
      </c>
      <c r="E33" s="71">
        <f>SUM(E30:E32)</f>
        <v>0</v>
      </c>
      <c r="F33" s="71">
        <f>SUM(F31:F32)</f>
        <v>0</v>
      </c>
      <c r="G33" s="71">
        <f>SUM(G31:G32)</f>
        <v>0</v>
      </c>
      <c r="H33" s="71">
        <f>SUM(H31:H32)</f>
        <v>0</v>
      </c>
      <c r="J33" s="71">
        <f t="shared" si="4"/>
        <v>0</v>
      </c>
    </row>
    <row r="34" spans="2:10" x14ac:dyDescent="0.25">
      <c r="B34" s="24"/>
      <c r="C34" s="9" t="s">
        <v>19</v>
      </c>
      <c r="D34" s="71">
        <v>385019</v>
      </c>
      <c r="E34" s="71">
        <v>1026652</v>
      </c>
      <c r="F34" s="71">
        <v>1102251</v>
      </c>
      <c r="G34" s="71">
        <v>68813</v>
      </c>
      <c r="H34" s="71">
        <v>70729</v>
      </c>
      <c r="J34" s="71">
        <f>SUM(D34:H34)</f>
        <v>2653464</v>
      </c>
    </row>
    <row r="35" spans="2:10" x14ac:dyDescent="0.25">
      <c r="B35" s="6"/>
      <c r="C35" s="7"/>
      <c r="D35" s="7"/>
      <c r="E35" s="7"/>
      <c r="F35" s="7"/>
      <c r="G35" s="7"/>
      <c r="H35" s="7"/>
      <c r="J35" s="7" t="s">
        <v>20</v>
      </c>
    </row>
    <row r="36" spans="2:10" ht="30" x14ac:dyDescent="0.25">
      <c r="B36" s="68" t="s">
        <v>67</v>
      </c>
      <c r="C36" s="74" t="s">
        <v>136</v>
      </c>
      <c r="D36" s="8"/>
      <c r="E36" s="8"/>
      <c r="F36" s="8"/>
      <c r="G36" s="8"/>
      <c r="H36" s="8"/>
      <c r="J36" s="8" t="s">
        <v>20</v>
      </c>
    </row>
    <row r="37" spans="2:10" x14ac:dyDescent="0.25">
      <c r="B37" s="23"/>
      <c r="C37" s="69"/>
      <c r="D37" s="28">
        <v>9482</v>
      </c>
      <c r="E37" s="10">
        <v>9563</v>
      </c>
      <c r="F37" s="10">
        <v>9806</v>
      </c>
      <c r="G37" s="10">
        <v>10079</v>
      </c>
      <c r="H37" s="84">
        <v>10654</v>
      </c>
      <c r="J37" s="70">
        <f>SUM(D37:H37)</f>
        <v>49584</v>
      </c>
    </row>
    <row r="38" spans="2:10" x14ac:dyDescent="0.25">
      <c r="B38" s="23"/>
      <c r="C38" s="69"/>
      <c r="D38" s="28"/>
      <c r="E38" s="10"/>
      <c r="F38" s="10"/>
      <c r="G38" s="10"/>
      <c r="H38" s="10"/>
      <c r="J38" s="70">
        <f t="shared" ref="J38:J39" si="5">SUM(D38:H38)</f>
        <v>0</v>
      </c>
    </row>
    <row r="39" spans="2:10" x14ac:dyDescent="0.25">
      <c r="B39" s="24"/>
      <c r="C39" s="9" t="s">
        <v>21</v>
      </c>
      <c r="D39" s="71">
        <v>9505</v>
      </c>
      <c r="E39" s="71">
        <f t="shared" ref="E39:H39" si="6">SUM(E37:E38)</f>
        <v>9563</v>
      </c>
      <c r="F39" s="71">
        <f t="shared" si="6"/>
        <v>9806</v>
      </c>
      <c r="G39" s="71">
        <f t="shared" si="6"/>
        <v>10079</v>
      </c>
      <c r="H39" s="71">
        <f t="shared" si="6"/>
        <v>10654</v>
      </c>
      <c r="J39" s="71">
        <f t="shared" si="5"/>
        <v>49607</v>
      </c>
    </row>
    <row r="40" spans="2:10" ht="15.75" thickBot="1" x14ac:dyDescent="0.3">
      <c r="B40" s="6"/>
      <c r="C40" s="7"/>
      <c r="D40" s="7"/>
      <c r="E40" s="7"/>
      <c r="F40" s="7"/>
      <c r="G40" s="7"/>
      <c r="H40" s="7"/>
      <c r="J40" s="7" t="s">
        <v>20</v>
      </c>
    </row>
    <row r="41" spans="2:10" s="1" customFormat="1" ht="30" x14ac:dyDescent="0.25">
      <c r="B41" s="19" t="s">
        <v>22</v>
      </c>
      <c r="C41" s="19"/>
      <c r="D41" s="75">
        <f>SUM(D39,D34)</f>
        <v>394524</v>
      </c>
      <c r="E41" s="75">
        <f t="shared" ref="E41:J41" si="7">SUM(E39,E34)</f>
        <v>1036215</v>
      </c>
      <c r="F41" s="75">
        <f t="shared" si="7"/>
        <v>1112057</v>
      </c>
      <c r="G41" s="75">
        <f t="shared" si="7"/>
        <v>78892</v>
      </c>
      <c r="H41" s="75">
        <f t="shared" si="7"/>
        <v>81383</v>
      </c>
      <c r="I41" s="7">
        <f>SUM(I39,I34)</f>
        <v>0</v>
      </c>
      <c r="J41" s="75">
        <f t="shared" si="7"/>
        <v>2703071</v>
      </c>
    </row>
    <row r="42" spans="2:10" x14ac:dyDescent="0.25">
      <c r="B42" s="6"/>
    </row>
    <row r="43" spans="2:10" x14ac:dyDescent="0.25">
      <c r="B43" s="6"/>
    </row>
    <row r="44" spans="2:10" x14ac:dyDescent="0.25">
      <c r="B44" s="6"/>
    </row>
    <row r="45" spans="2:10" x14ac:dyDescent="0.25">
      <c r="B45" s="6"/>
    </row>
    <row r="46" spans="2:10" x14ac:dyDescent="0.25">
      <c r="B46" s="6"/>
    </row>
    <row r="47" spans="2:10" x14ac:dyDescent="0.25">
      <c r="B47" s="6"/>
    </row>
    <row r="48" spans="2:10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  <row r="55" spans="2:2" x14ac:dyDescent="0.25">
      <c r="B55" s="6"/>
    </row>
    <row r="56" spans="2:2" x14ac:dyDescent="0.25">
      <c r="B56" s="6"/>
    </row>
  </sheetData>
  <pageMargins left="0.7" right="0.7" top="0.75" bottom="0.75" header="0.3" footer="0.3"/>
  <pageSetup scale="89" fitToHeight="0" orientation="landscape" r:id="rId1"/>
  <ignoredErrors>
    <ignoredError sqref="J28 J24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61"/>
  <sheetViews>
    <sheetView showGridLines="0" zoomScale="85" zoomScaleNormal="85" workbookViewId="0">
      <pane xSplit="3" ySplit="6" topLeftCell="D25" activePane="bottomRight" state="frozen"/>
      <selection pane="topRight" activeCell="R20" sqref="R20:W20"/>
      <selection pane="bottomLeft" activeCell="R20" sqref="R20:W20"/>
      <selection pane="bottomRight" activeCell="E32" sqref="E32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2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60" x14ac:dyDescent="0.25">
      <c r="B8" s="23"/>
      <c r="C8" s="69" t="s">
        <v>165</v>
      </c>
      <c r="D8" s="70">
        <v>17696</v>
      </c>
      <c r="E8" s="70">
        <v>18227</v>
      </c>
      <c r="F8" s="70">
        <v>18801</v>
      </c>
      <c r="G8" s="70">
        <v>19365</v>
      </c>
      <c r="H8" s="70">
        <v>18946</v>
      </c>
      <c r="I8" s="35">
        <v>450000</v>
      </c>
      <c r="J8" s="70">
        <f>SUM(D8:H8)</f>
        <v>93035</v>
      </c>
    </row>
    <row r="9" spans="2:39" ht="45" x14ac:dyDescent="0.25">
      <c r="B9" s="23"/>
      <c r="C9" s="69" t="s">
        <v>152</v>
      </c>
      <c r="D9" s="70">
        <v>9000</v>
      </c>
      <c r="E9" s="70">
        <v>9270</v>
      </c>
      <c r="F9" s="70">
        <v>9548</v>
      </c>
      <c r="G9" s="70">
        <v>9834</v>
      </c>
      <c r="H9" s="70">
        <v>10130</v>
      </c>
      <c r="I9" s="35">
        <v>11250</v>
      </c>
      <c r="J9" s="70">
        <v>47782</v>
      </c>
    </row>
    <row r="10" spans="2:39" ht="30" x14ac:dyDescent="0.25">
      <c r="B10" s="23"/>
      <c r="C10" s="69" t="s">
        <v>151</v>
      </c>
      <c r="D10" s="70">
        <v>7000</v>
      </c>
      <c r="E10" s="70">
        <v>7210</v>
      </c>
      <c r="F10" s="70">
        <v>7416</v>
      </c>
      <c r="G10" s="70">
        <v>7638</v>
      </c>
      <c r="H10" s="70">
        <v>7867</v>
      </c>
      <c r="I10" s="35"/>
      <c r="J10" s="70">
        <v>37131</v>
      </c>
    </row>
    <row r="11" spans="2:39" x14ac:dyDescent="0.25">
      <c r="B11" s="23"/>
      <c r="C11" s="9" t="s">
        <v>12</v>
      </c>
      <c r="D11" s="71">
        <v>33696</v>
      </c>
      <c r="E11" s="71">
        <v>34707</v>
      </c>
      <c r="F11" s="71">
        <v>35765</v>
      </c>
      <c r="G11" s="71">
        <v>36837</v>
      </c>
      <c r="H11" s="71">
        <v>36943</v>
      </c>
      <c r="I11" s="7">
        <f t="shared" ref="I11" si="0">SUM(I8:I8)</f>
        <v>450000</v>
      </c>
      <c r="J11" s="71">
        <v>177948</v>
      </c>
    </row>
    <row r="12" spans="2:39" x14ac:dyDescent="0.25">
      <c r="B12" s="23"/>
      <c r="C12" s="14" t="s">
        <v>153</v>
      </c>
      <c r="D12" s="28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69"/>
      <c r="D13" s="70">
        <v>9405</v>
      </c>
      <c r="E13" s="70">
        <v>9687</v>
      </c>
      <c r="F13" s="70">
        <v>9982</v>
      </c>
      <c r="G13" s="70">
        <v>10281</v>
      </c>
      <c r="H13" s="70">
        <v>10311</v>
      </c>
      <c r="J13" s="70">
        <f>SUM(D13:H13)</f>
        <v>49666</v>
      </c>
    </row>
    <row r="14" spans="2:39" x14ac:dyDescent="0.25">
      <c r="B14" s="23"/>
      <c r="C14" s="9" t="s">
        <v>13</v>
      </c>
      <c r="D14" s="71">
        <f t="shared" ref="D14:J14" si="1">SUM(D13:D13)</f>
        <v>9405</v>
      </c>
      <c r="E14" s="71">
        <f t="shared" si="1"/>
        <v>9687</v>
      </c>
      <c r="F14" s="71">
        <f t="shared" si="1"/>
        <v>9982</v>
      </c>
      <c r="G14" s="71">
        <f t="shared" si="1"/>
        <v>10281</v>
      </c>
      <c r="H14" s="71">
        <f t="shared" si="1"/>
        <v>10311</v>
      </c>
      <c r="I14" s="7">
        <f t="shared" si="1"/>
        <v>0</v>
      </c>
      <c r="J14" s="71">
        <f t="shared" si="1"/>
        <v>49666</v>
      </c>
    </row>
    <row r="15" spans="2:39" x14ac:dyDescent="0.25">
      <c r="B15" s="23"/>
      <c r="C15" s="9" t="s">
        <v>160</v>
      </c>
      <c r="D15" s="71"/>
      <c r="E15" s="71"/>
      <c r="F15" s="71"/>
      <c r="G15" s="71"/>
      <c r="H15" s="71"/>
      <c r="J15" s="71"/>
    </row>
    <row r="16" spans="2:39" ht="45" x14ac:dyDescent="0.25">
      <c r="B16" s="23"/>
      <c r="C16" s="9" t="s">
        <v>161</v>
      </c>
      <c r="D16" s="71"/>
      <c r="E16" s="71"/>
      <c r="F16" s="71"/>
      <c r="G16" s="71"/>
      <c r="H16" s="71"/>
      <c r="J16" s="71"/>
    </row>
    <row r="17" spans="2:10" ht="165" x14ac:dyDescent="0.25">
      <c r="B17" s="23"/>
      <c r="C17" s="28" t="s">
        <v>154</v>
      </c>
      <c r="D17" s="28">
        <v>3120</v>
      </c>
      <c r="E17" s="10">
        <v>3120</v>
      </c>
      <c r="F17" s="10">
        <v>3120</v>
      </c>
      <c r="G17" s="10">
        <v>3120</v>
      </c>
      <c r="H17" s="10">
        <v>3120</v>
      </c>
      <c r="J17" s="8">
        <v>15600</v>
      </c>
    </row>
    <row r="18" spans="2:10" x14ac:dyDescent="0.25">
      <c r="B18" s="23"/>
      <c r="C18" s="69"/>
      <c r="D18" s="70">
        <v>8496</v>
      </c>
      <c r="E18" s="70">
        <v>0</v>
      </c>
      <c r="F18" s="70">
        <v>0</v>
      </c>
      <c r="G18" s="70">
        <v>0</v>
      </c>
      <c r="H18" s="70">
        <v>0</v>
      </c>
      <c r="J18" s="70">
        <f t="shared" ref="J18" si="2">SUM(D18:H18)</f>
        <v>8496</v>
      </c>
    </row>
    <row r="19" spans="2:10" x14ac:dyDescent="0.25">
      <c r="B19" s="23"/>
      <c r="C19" s="9" t="s">
        <v>14</v>
      </c>
      <c r="D19" s="71">
        <f>SUM(D17:D18)</f>
        <v>11616</v>
      </c>
      <c r="E19" s="71">
        <f t="shared" ref="E19:H19" si="3">SUM(E17:E18)</f>
        <v>3120</v>
      </c>
      <c r="F19" s="71">
        <f t="shared" si="3"/>
        <v>3120</v>
      </c>
      <c r="G19" s="71">
        <f t="shared" si="3"/>
        <v>3120</v>
      </c>
      <c r="H19" s="71">
        <f t="shared" si="3"/>
        <v>3120</v>
      </c>
      <c r="J19" s="71">
        <f>SUM(D19:H19)</f>
        <v>24096</v>
      </c>
    </row>
    <row r="20" spans="2:10" x14ac:dyDescent="0.25">
      <c r="B20" s="23"/>
      <c r="C20" s="14" t="s">
        <v>39</v>
      </c>
      <c r="D20" s="70"/>
      <c r="E20" s="10"/>
      <c r="F20" s="10"/>
      <c r="G20" s="10"/>
      <c r="H20" s="10"/>
      <c r="J20" s="70">
        <f t="shared" ref="J20:J39" si="4">SUM(D20:H20)</f>
        <v>0</v>
      </c>
    </row>
    <row r="21" spans="2:10" ht="30" x14ac:dyDescent="0.25">
      <c r="B21" s="23"/>
      <c r="C21" s="69" t="s">
        <v>75</v>
      </c>
      <c r="D21" s="70">
        <v>0</v>
      </c>
      <c r="E21" s="11">
        <v>246262</v>
      </c>
      <c r="F21" s="70">
        <v>0</v>
      </c>
      <c r="G21" s="70">
        <v>0</v>
      </c>
      <c r="H21" s="70">
        <v>0</v>
      </c>
      <c r="J21" s="70">
        <f t="shared" si="4"/>
        <v>246262</v>
      </c>
    </row>
    <row r="22" spans="2:10" x14ac:dyDescent="0.25">
      <c r="B22" s="23" t="s">
        <v>50</v>
      </c>
      <c r="C22" s="28" t="s">
        <v>50</v>
      </c>
      <c r="D22" s="28" t="s">
        <v>36</v>
      </c>
      <c r="E22" s="10"/>
      <c r="F22" s="10"/>
      <c r="G22" s="10"/>
      <c r="H22" s="10"/>
      <c r="J22" s="70">
        <f t="shared" si="4"/>
        <v>0</v>
      </c>
    </row>
    <row r="23" spans="2:10" x14ac:dyDescent="0.25">
      <c r="B23" s="23"/>
      <c r="C23" s="9" t="s">
        <v>15</v>
      </c>
      <c r="D23" s="73">
        <f>SUM(D21:D22)</f>
        <v>0</v>
      </c>
      <c r="E23" s="73">
        <f>SUM(E21:E22)</f>
        <v>246262</v>
      </c>
      <c r="F23" s="73">
        <f t="shared" ref="F23:H23" si="5">SUM(F21:F22)</f>
        <v>0</v>
      </c>
      <c r="G23" s="73">
        <f t="shared" si="5"/>
        <v>0</v>
      </c>
      <c r="H23" s="73">
        <f t="shared" si="5"/>
        <v>0</v>
      </c>
      <c r="J23" s="71">
        <f>SUM(D23:H23)</f>
        <v>246262</v>
      </c>
    </row>
    <row r="24" spans="2:10" x14ac:dyDescent="0.25">
      <c r="B24" s="23"/>
      <c r="C24" s="14" t="s">
        <v>52</v>
      </c>
      <c r="D24" s="28" t="s">
        <v>36</v>
      </c>
      <c r="E24" s="10"/>
      <c r="F24" s="10"/>
      <c r="G24" s="10"/>
      <c r="H24" s="10"/>
      <c r="J24" s="70"/>
    </row>
    <row r="25" spans="2:10" x14ac:dyDescent="0.25">
      <c r="B25" s="23"/>
      <c r="C25" s="69"/>
      <c r="D25" s="70"/>
      <c r="E25" s="70"/>
      <c r="F25" s="70"/>
      <c r="G25" s="70"/>
      <c r="H25" s="70"/>
      <c r="I25" s="35">
        <v>5000</v>
      </c>
      <c r="J25" s="70">
        <f t="shared" si="4"/>
        <v>0</v>
      </c>
    </row>
    <row r="26" spans="2:10" x14ac:dyDescent="0.25">
      <c r="B26" s="23"/>
      <c r="C26" s="9" t="s">
        <v>16</v>
      </c>
      <c r="D26" s="71">
        <f>SUM(D25:D25)</f>
        <v>0</v>
      </c>
      <c r="E26" s="71">
        <f>SUM(E25:E25)</f>
        <v>0</v>
      </c>
      <c r="F26" s="71">
        <f>SUM(F25:F25)</f>
        <v>0</v>
      </c>
      <c r="G26" s="71">
        <f>SUM(G25:G25)</f>
        <v>0</v>
      </c>
      <c r="H26" s="71">
        <f>SUM(H25:H25)</f>
        <v>0</v>
      </c>
      <c r="J26" s="71">
        <f t="shared" si="4"/>
        <v>0</v>
      </c>
    </row>
    <row r="27" spans="2:10" x14ac:dyDescent="0.25">
      <c r="B27" s="23"/>
      <c r="C27" s="14" t="s">
        <v>53</v>
      </c>
      <c r="D27" s="28" t="s">
        <v>36</v>
      </c>
      <c r="E27" s="10"/>
      <c r="F27" s="10"/>
      <c r="G27" s="10"/>
      <c r="H27" s="10"/>
      <c r="J27" s="70"/>
    </row>
    <row r="28" spans="2:10" ht="45" x14ac:dyDescent="0.25">
      <c r="B28" s="23"/>
      <c r="C28" s="69" t="s">
        <v>76</v>
      </c>
      <c r="D28" s="70">
        <v>0</v>
      </c>
      <c r="E28" s="70">
        <v>406984</v>
      </c>
      <c r="F28" s="70">
        <v>0</v>
      </c>
      <c r="G28" s="70">
        <v>0</v>
      </c>
      <c r="H28" s="70">
        <v>0</v>
      </c>
      <c r="I28" s="35">
        <v>5106000</v>
      </c>
      <c r="J28" s="70">
        <f t="shared" si="4"/>
        <v>406984</v>
      </c>
    </row>
    <row r="29" spans="2:10" x14ac:dyDescent="0.25">
      <c r="B29" s="23"/>
      <c r="C29" s="80" t="s">
        <v>77</v>
      </c>
      <c r="D29" s="81">
        <v>0</v>
      </c>
      <c r="E29" s="81">
        <v>0</v>
      </c>
      <c r="F29" s="81">
        <v>385000</v>
      </c>
      <c r="G29" s="81">
        <v>0</v>
      </c>
      <c r="H29" s="81">
        <v>0</v>
      </c>
      <c r="I29" s="82">
        <v>22500000</v>
      </c>
      <c r="J29" s="81">
        <f t="shared" si="4"/>
        <v>385000</v>
      </c>
    </row>
    <row r="30" spans="2:10" ht="30" x14ac:dyDescent="0.25">
      <c r="B30" s="23"/>
      <c r="C30" s="69" t="s">
        <v>78</v>
      </c>
      <c r="D30" s="70">
        <v>16136</v>
      </c>
      <c r="E30" s="70">
        <v>16136</v>
      </c>
      <c r="F30" s="70">
        <v>16136</v>
      </c>
      <c r="G30" s="70">
        <v>16136</v>
      </c>
      <c r="H30" s="70">
        <v>16136</v>
      </c>
      <c r="I30" s="35"/>
      <c r="J30" s="70">
        <f t="shared" si="4"/>
        <v>80680</v>
      </c>
    </row>
    <row r="31" spans="2:10" ht="30" x14ac:dyDescent="0.25">
      <c r="B31" s="23"/>
      <c r="C31" s="80" t="s">
        <v>164</v>
      </c>
      <c r="D31" s="81">
        <v>770000</v>
      </c>
      <c r="E31" s="81">
        <v>0</v>
      </c>
      <c r="F31" s="81">
        <v>0</v>
      </c>
      <c r="G31" s="81">
        <v>0</v>
      </c>
      <c r="H31" s="81">
        <v>0</v>
      </c>
      <c r="I31" s="82"/>
      <c r="J31" s="81">
        <f t="shared" si="4"/>
        <v>770000</v>
      </c>
    </row>
    <row r="32" spans="2:10" x14ac:dyDescent="0.25">
      <c r="B32" s="23"/>
      <c r="C32" s="80" t="s">
        <v>79</v>
      </c>
      <c r="D32" s="81">
        <v>3350000</v>
      </c>
      <c r="E32" s="81">
        <v>5500000</v>
      </c>
      <c r="F32" s="81">
        <v>1650000</v>
      </c>
      <c r="G32" s="81">
        <v>0</v>
      </c>
      <c r="H32" s="81">
        <v>0</v>
      </c>
      <c r="I32" s="82">
        <v>75000000</v>
      </c>
      <c r="J32" s="81">
        <f t="shared" si="4"/>
        <v>10500000</v>
      </c>
    </row>
    <row r="33" spans="2:10" ht="45" x14ac:dyDescent="0.25">
      <c r="B33" s="23"/>
      <c r="C33" s="69" t="s">
        <v>80</v>
      </c>
      <c r="D33" s="70">
        <v>126560</v>
      </c>
      <c r="E33" s="70">
        <v>0</v>
      </c>
      <c r="F33" s="70">
        <v>0</v>
      </c>
      <c r="G33" s="70">
        <v>0</v>
      </c>
      <c r="H33" s="70">
        <v>0</v>
      </c>
      <c r="I33" s="35"/>
      <c r="J33" s="70">
        <f t="shared" si="4"/>
        <v>126560</v>
      </c>
    </row>
    <row r="34" spans="2:10" ht="48.75" customHeight="1" x14ac:dyDescent="0.25">
      <c r="B34" s="23"/>
      <c r="C34" s="69" t="s">
        <v>159</v>
      </c>
      <c r="D34" s="70">
        <v>135000</v>
      </c>
      <c r="E34" s="11">
        <v>0</v>
      </c>
      <c r="F34" s="11">
        <v>0</v>
      </c>
      <c r="G34" s="11">
        <v>0</v>
      </c>
      <c r="H34" s="11">
        <v>0</v>
      </c>
      <c r="J34" s="70">
        <f t="shared" si="4"/>
        <v>135000</v>
      </c>
    </row>
    <row r="35" spans="2:10" x14ac:dyDescent="0.25">
      <c r="B35" s="23"/>
      <c r="C35" s="9" t="s">
        <v>81</v>
      </c>
      <c r="D35" s="71">
        <f>SUM(D28:D34)</f>
        <v>4397696</v>
      </c>
      <c r="E35" s="71">
        <f>SUM(E28:E34)</f>
        <v>5923120</v>
      </c>
      <c r="F35" s="71">
        <f t="shared" ref="F35:H35" si="6">SUM(F28:F34)</f>
        <v>2051136</v>
      </c>
      <c r="G35" s="71">
        <f t="shared" si="6"/>
        <v>16136</v>
      </c>
      <c r="H35" s="71">
        <f t="shared" si="6"/>
        <v>16136</v>
      </c>
      <c r="J35" s="71">
        <f>SUM(D35:H35)</f>
        <v>12404224</v>
      </c>
    </row>
    <row r="36" spans="2:10" x14ac:dyDescent="0.25">
      <c r="B36" s="23"/>
      <c r="C36" s="14" t="s">
        <v>82</v>
      </c>
      <c r="D36" s="28" t="s">
        <v>36</v>
      </c>
      <c r="E36" s="10"/>
      <c r="F36" s="10"/>
      <c r="G36" s="10"/>
      <c r="H36" s="10"/>
      <c r="J36" s="70"/>
    </row>
    <row r="37" spans="2:10" x14ac:dyDescent="0.25">
      <c r="B37" s="23"/>
      <c r="C37" s="69"/>
      <c r="D37" s="70"/>
      <c r="E37" s="70"/>
      <c r="F37" s="70"/>
      <c r="G37" s="70"/>
      <c r="H37" s="70"/>
      <c r="I37" s="35">
        <v>375000</v>
      </c>
      <c r="J37" s="70">
        <f t="shared" si="4"/>
        <v>0</v>
      </c>
    </row>
    <row r="38" spans="2:10" x14ac:dyDescent="0.25">
      <c r="B38" s="24"/>
      <c r="C38" s="9" t="s">
        <v>18</v>
      </c>
      <c r="D38" s="71">
        <f>SUM(D37:D37)</f>
        <v>0</v>
      </c>
      <c r="E38" s="71">
        <f>SUM(E37:E37)</f>
        <v>0</v>
      </c>
      <c r="F38" s="71">
        <f>SUM(F37:F37)</f>
        <v>0</v>
      </c>
      <c r="G38" s="71">
        <f>SUM(G37:G37)</f>
        <v>0</v>
      </c>
      <c r="H38" s="71">
        <f>SUM(H37:H37)</f>
        <v>0</v>
      </c>
      <c r="J38" s="71">
        <f t="shared" si="4"/>
        <v>0</v>
      </c>
    </row>
    <row r="39" spans="2:10" x14ac:dyDescent="0.25">
      <c r="B39" s="24"/>
      <c r="C39" s="9" t="s">
        <v>19</v>
      </c>
      <c r="D39" s="71">
        <f>SUM(D38,D35,D26,D23,D19,D14,D11)</f>
        <v>4452413</v>
      </c>
      <c r="E39" s="71">
        <f>SUM(E38,E35,E26,E23,E19,E14,E11)</f>
        <v>6216896</v>
      </c>
      <c r="F39" s="71">
        <f>SUM(F38,F35,F26,F23,F19,F14,F11)</f>
        <v>2100003</v>
      </c>
      <c r="G39" s="71">
        <f>SUM(G38,G35,G26,G23,G19,G14,G11)</f>
        <v>66374</v>
      </c>
      <c r="H39" s="71">
        <f>SUM(H38,H35,H26,H23,H19,H14,H11)</f>
        <v>66510</v>
      </c>
      <c r="J39" s="71">
        <f t="shared" si="4"/>
        <v>12902196</v>
      </c>
    </row>
    <row r="40" spans="2:10" x14ac:dyDescent="0.25">
      <c r="B40" s="6"/>
      <c r="C40" s="7"/>
      <c r="D40" s="7"/>
      <c r="E40" s="7"/>
      <c r="F40" s="7"/>
      <c r="G40" s="7"/>
      <c r="H40" s="7"/>
      <c r="J40" s="7" t="s">
        <v>20</v>
      </c>
    </row>
    <row r="41" spans="2:10" ht="30" x14ac:dyDescent="0.25">
      <c r="B41" s="68" t="s">
        <v>67</v>
      </c>
      <c r="C41" s="74" t="s">
        <v>163</v>
      </c>
      <c r="D41" s="8"/>
      <c r="E41" s="8"/>
      <c r="F41" s="8"/>
      <c r="G41" s="8"/>
      <c r="H41" s="8"/>
      <c r="J41" s="8" t="s">
        <v>20</v>
      </c>
    </row>
    <row r="42" spans="2:10" x14ac:dyDescent="0.25">
      <c r="B42" s="23"/>
      <c r="C42" s="69"/>
      <c r="D42" s="28">
        <v>8032</v>
      </c>
      <c r="E42" s="10">
        <v>6975</v>
      </c>
      <c r="F42" s="10">
        <v>7174</v>
      </c>
      <c r="G42" s="10">
        <v>7375</v>
      </c>
      <c r="H42" s="10">
        <v>7395</v>
      </c>
      <c r="J42" s="70">
        <f>SUM(D42:H42)</f>
        <v>36951</v>
      </c>
    </row>
    <row r="43" spans="2:10" x14ac:dyDescent="0.25">
      <c r="B43" s="23"/>
      <c r="C43" s="69"/>
      <c r="D43" s="28"/>
      <c r="E43" s="10"/>
      <c r="F43" s="10"/>
      <c r="G43" s="10"/>
      <c r="H43" s="10"/>
      <c r="J43" s="70">
        <f t="shared" ref="J43:J44" si="7">SUM(D43:H43)</f>
        <v>0</v>
      </c>
    </row>
    <row r="44" spans="2:10" x14ac:dyDescent="0.25">
      <c r="B44" s="24"/>
      <c r="C44" s="9" t="s">
        <v>21</v>
      </c>
      <c r="D44" s="71">
        <f>SUM(D42:D43)</f>
        <v>8032</v>
      </c>
      <c r="E44" s="71">
        <f t="shared" ref="E44:H44" si="8">SUM(E42:E43)</f>
        <v>6975</v>
      </c>
      <c r="F44" s="71">
        <f t="shared" si="8"/>
        <v>7174</v>
      </c>
      <c r="G44" s="71">
        <f t="shared" si="8"/>
        <v>7375</v>
      </c>
      <c r="H44" s="71">
        <f t="shared" si="8"/>
        <v>7395</v>
      </c>
      <c r="J44" s="71">
        <f t="shared" si="7"/>
        <v>36951</v>
      </c>
    </row>
    <row r="45" spans="2:10" ht="15.75" thickBot="1" x14ac:dyDescent="0.3">
      <c r="B45" s="6"/>
      <c r="C45" s="7"/>
      <c r="D45" s="7"/>
      <c r="E45" s="7"/>
      <c r="F45" s="7"/>
      <c r="G45" s="7"/>
      <c r="H45" s="7"/>
      <c r="J45" s="7" t="s">
        <v>20</v>
      </c>
    </row>
    <row r="46" spans="2:10" s="1" customFormat="1" ht="30" x14ac:dyDescent="0.25">
      <c r="B46" s="19" t="s">
        <v>22</v>
      </c>
      <c r="C46" s="19"/>
      <c r="D46" s="75">
        <f>SUM(D44,D39)</f>
        <v>4460445</v>
      </c>
      <c r="E46" s="75">
        <f t="shared" ref="E46:J46" si="9">SUM(E44,E39)</f>
        <v>6223871</v>
      </c>
      <c r="F46" s="75">
        <f t="shared" si="9"/>
        <v>2107177</v>
      </c>
      <c r="G46" s="75">
        <f t="shared" si="9"/>
        <v>73749</v>
      </c>
      <c r="H46" s="75">
        <f t="shared" si="9"/>
        <v>73905</v>
      </c>
      <c r="I46" s="7">
        <f>SUM(I44,I39)</f>
        <v>0</v>
      </c>
      <c r="J46" s="75">
        <f t="shared" si="9"/>
        <v>12939147</v>
      </c>
    </row>
    <row r="47" spans="2:10" x14ac:dyDescent="0.25">
      <c r="B47" s="6"/>
    </row>
    <row r="48" spans="2:10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  <row r="55" spans="2:2" x14ac:dyDescent="0.25">
      <c r="B55" s="6"/>
    </row>
    <row r="56" spans="2:2" x14ac:dyDescent="0.25">
      <c r="B56" s="6"/>
    </row>
    <row r="57" spans="2:2" x14ac:dyDescent="0.25">
      <c r="B57" s="6"/>
    </row>
    <row r="58" spans="2:2" x14ac:dyDescent="0.25">
      <c r="B58" s="6"/>
    </row>
    <row r="59" spans="2:2" x14ac:dyDescent="0.25">
      <c r="B59" s="6"/>
    </row>
    <row r="60" spans="2:2" x14ac:dyDescent="0.25">
      <c r="B60" s="6"/>
    </row>
    <row r="61" spans="2:2" x14ac:dyDescent="0.25">
      <c r="B61" s="6"/>
    </row>
  </sheetData>
  <pageMargins left="0.7" right="0.7" top="0.75" bottom="0.75" header="0.3" footer="0.3"/>
  <pageSetup scale="89" fitToHeight="0" orientation="landscape" r:id="rId1"/>
  <ignoredErrors>
    <ignoredError sqref="J8 J25 J37 J28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R20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2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50</v>
      </c>
      <c r="C30" s="28" t="s">
        <v>50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52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53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66</v>
      </c>
      <c r="D42" s="13" t="s">
        <v>36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68" t="s">
        <v>67</v>
      </c>
      <c r="C52" s="17" t="s">
        <v>67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N37" sqref="N3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83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84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85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9" t="s">
        <v>86</v>
      </c>
      <c r="D18" s="15" t="s">
        <v>50</v>
      </c>
      <c r="E18" s="11" t="s">
        <v>50</v>
      </c>
      <c r="F18" s="11" t="s">
        <v>50</v>
      </c>
      <c r="G18" s="11"/>
      <c r="H18" s="11"/>
      <c r="J18" s="15"/>
    </row>
    <row r="19" spans="2:10" x14ac:dyDescent="0.25">
      <c r="B19" s="23"/>
      <c r="C19" s="29" t="s">
        <v>87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88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89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90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91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92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93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39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94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50</v>
      </c>
      <c r="C29" s="28" t="s">
        <v>50</v>
      </c>
      <c r="D29" s="13" t="s">
        <v>36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52</v>
      </c>
      <c r="D31" s="13" t="s">
        <v>36</v>
      </c>
      <c r="E31" s="10"/>
      <c r="F31" s="10"/>
      <c r="G31" s="10"/>
      <c r="H31" s="10"/>
      <c r="J31" s="15"/>
    </row>
    <row r="32" spans="2:10" x14ac:dyDescent="0.25">
      <c r="B32" s="23"/>
      <c r="C32" s="25" t="s">
        <v>95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53</v>
      </c>
      <c r="D35" s="13" t="s">
        <v>36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96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97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98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66</v>
      </c>
      <c r="D41" s="13" t="s">
        <v>36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99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100</v>
      </c>
      <c r="D43" s="15">
        <v>10000000</v>
      </c>
      <c r="E43" s="57">
        <v>10000000</v>
      </c>
      <c r="F43" s="57">
        <v>10000000</v>
      </c>
      <c r="G43" s="57">
        <v>10000000</v>
      </c>
      <c r="H43" s="57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67</v>
      </c>
      <c r="C48" s="17" t="s">
        <v>67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83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85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 t="s">
        <v>101</v>
      </c>
      <c r="D18" s="13"/>
      <c r="E18" s="10"/>
      <c r="F18" s="10"/>
      <c r="G18" s="10"/>
      <c r="H18" s="10"/>
      <c r="J18" s="15" t="s">
        <v>36</v>
      </c>
    </row>
    <row r="19" spans="2:10" x14ac:dyDescent="0.25">
      <c r="B19" s="23"/>
      <c r="C19" s="29" t="s">
        <v>86</v>
      </c>
      <c r="D19" s="15" t="s">
        <v>50</v>
      </c>
      <c r="E19" s="11" t="s">
        <v>50</v>
      </c>
      <c r="F19" s="11" t="s">
        <v>50</v>
      </c>
      <c r="G19" s="11"/>
      <c r="H19" s="11"/>
      <c r="J19" s="15"/>
    </row>
    <row r="20" spans="2:10" x14ac:dyDescent="0.25">
      <c r="B20" s="23"/>
      <c r="C20" s="29" t="s">
        <v>87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88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89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90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91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92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93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50</v>
      </c>
      <c r="C30" s="28" t="s">
        <v>50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52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 t="s">
        <v>102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53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59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66</v>
      </c>
      <c r="D43" s="13" t="s">
        <v>36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103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104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105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67</v>
      </c>
      <c r="C53" s="17" t="s">
        <v>67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2024-04-01T22:56:12Z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