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Apcdtyphoon\DivData\RulesIncentives\2024 VSR\CPRG Application\Reference materials or info\"/>
    </mc:Choice>
  </mc:AlternateContent>
  <xr:revisionPtr revIDLastSave="0" documentId="13_ncr:1_{3B065C30-5616-4560-853A-AF911E443701}" xr6:coauthVersionLast="47" xr6:coauthVersionMax="47" xr10:uidLastSave="{00000000-0000-0000-0000-000000000000}"/>
  <bookViews>
    <workbookView xWindow="30000" yWindow="3015" windowWidth="21600" windowHeight="11385" xr2:uid="{00000000-000D-0000-FFFF-FFFF00000000}"/>
  </bookViews>
  <sheets>
    <sheet name="Summary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" i="3" l="1"/>
  <c r="AB2" i="3"/>
  <c r="AA2" i="3"/>
  <c r="Z2" i="3"/>
  <c r="Y2" i="3"/>
  <c r="X2" i="3"/>
  <c r="W2" i="3"/>
  <c r="V2" i="3"/>
  <c r="B7" i="3" l="1"/>
  <c r="AC4" i="3"/>
  <c r="AB4" i="3"/>
  <c r="AA4" i="3"/>
  <c r="Z4" i="3"/>
  <c r="Y4" i="3"/>
  <c r="X4" i="3"/>
  <c r="W4" i="3"/>
  <c r="V4" i="3"/>
  <c r="U4" i="3"/>
  <c r="T4" i="3"/>
  <c r="S4" i="3"/>
  <c r="R4" i="3"/>
  <c r="Q4" i="3"/>
  <c r="P4" i="3"/>
  <c r="O4" i="3"/>
  <c r="N4" i="3"/>
  <c r="M4" i="3"/>
  <c r="L4" i="3"/>
  <c r="K4" i="3"/>
  <c r="J4" i="3"/>
  <c r="I4" i="3"/>
  <c r="H4" i="3"/>
  <c r="G4" i="3"/>
  <c r="F4" i="3"/>
  <c r="AC6" i="3"/>
  <c r="AB6" i="3"/>
  <c r="AA6" i="3"/>
  <c r="Z6" i="3"/>
  <c r="Y6" i="3"/>
  <c r="X6" i="3"/>
  <c r="W6" i="3"/>
  <c r="V6" i="3"/>
  <c r="U6" i="3"/>
  <c r="T6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E6" i="3"/>
  <c r="D6" i="3"/>
  <c r="C6" i="3"/>
  <c r="C2" i="3" l="1"/>
  <c r="C7" i="3" s="1"/>
  <c r="AC7" i="3"/>
  <c r="AC9" i="3" s="1"/>
  <c r="AB7" i="3"/>
  <c r="AB9" i="3" s="1"/>
  <c r="AA7" i="3"/>
  <c r="AA9" i="3" s="1"/>
  <c r="Z7" i="3"/>
  <c r="Z9" i="3" s="1"/>
  <c r="Y7" i="3"/>
  <c r="Y9" i="3" s="1"/>
  <c r="X7" i="3"/>
  <c r="X9" i="3" s="1"/>
  <c r="W7" i="3"/>
  <c r="W9" i="3" s="1"/>
  <c r="V7" i="3"/>
  <c r="V9" i="3" s="1"/>
  <c r="U2" i="3"/>
  <c r="U7" i="3" s="1"/>
  <c r="U9" i="3" s="1"/>
  <c r="T2" i="3"/>
  <c r="T7" i="3" s="1"/>
  <c r="T9" i="3" s="1"/>
  <c r="S2" i="3"/>
  <c r="S7" i="3" s="1"/>
  <c r="S9" i="3" s="1"/>
  <c r="R2" i="3"/>
  <c r="R7" i="3" s="1"/>
  <c r="R9" i="3" s="1"/>
  <c r="Q2" i="3"/>
  <c r="Q7" i="3" s="1"/>
  <c r="Q9" i="3" s="1"/>
  <c r="P2" i="3"/>
  <c r="P7" i="3" s="1"/>
  <c r="P9" i="3" s="1"/>
  <c r="O2" i="3"/>
  <c r="O7" i="3" s="1"/>
  <c r="O9" i="3" s="1"/>
  <c r="N2" i="3"/>
  <c r="N7" i="3" s="1"/>
  <c r="N9" i="3" s="1"/>
  <c r="M2" i="3"/>
  <c r="M7" i="3" s="1"/>
  <c r="M9" i="3" s="1"/>
  <c r="L2" i="3"/>
  <c r="L7" i="3" s="1"/>
  <c r="L9" i="3" s="1"/>
  <c r="K2" i="3"/>
  <c r="K7" i="3" s="1"/>
  <c r="K9" i="3" s="1"/>
  <c r="J2" i="3"/>
  <c r="J7" i="3" s="1"/>
  <c r="J9" i="3" s="1"/>
  <c r="I2" i="3"/>
  <c r="I7" i="3" s="1"/>
  <c r="H2" i="3"/>
  <c r="H7" i="3" s="1"/>
  <c r="G2" i="3"/>
  <c r="G7" i="3" s="1"/>
  <c r="F2" i="3"/>
  <c r="F7" i="3" s="1"/>
  <c r="E2" i="3"/>
  <c r="E7" i="3" s="1"/>
  <c r="D2" i="3"/>
  <c r="D7" i="3" s="1"/>
  <c r="H9" i="3" l="1"/>
  <c r="H10" i="3"/>
  <c r="H11" i="3"/>
  <c r="I9" i="3"/>
  <c r="I11" i="3"/>
  <c r="I10" i="3"/>
  <c r="G9" i="3"/>
  <c r="G10" i="3"/>
  <c r="G11" i="3"/>
  <c r="D9" i="3"/>
  <c r="D10" i="3"/>
  <c r="D11" i="3"/>
  <c r="K11" i="3" s="1"/>
  <c r="E9" i="3"/>
  <c r="E11" i="3"/>
  <c r="E10" i="3"/>
  <c r="F9" i="3"/>
  <c r="B14" i="3" s="1"/>
  <c r="K18" i="3" s="1"/>
  <c r="F10" i="3"/>
  <c r="F11" i="3"/>
  <c r="C9" i="3"/>
  <c r="C11" i="3"/>
  <c r="C10" i="3"/>
  <c r="B15" i="3"/>
  <c r="K10" i="3" l="1"/>
  <c r="K12" i="3" s="1"/>
  <c r="K13" i="3" l="1"/>
  <c r="K14" i="3" s="1"/>
  <c r="K19" i="3" s="1"/>
  <c r="K17" i="3"/>
</calcChain>
</file>

<file path=xl/sharedStrings.xml><?xml version="1.0" encoding="utf-8"?>
<sst xmlns="http://schemas.openxmlformats.org/spreadsheetml/2006/main" count="30" uniqueCount="29">
  <si>
    <t>Transit Growth</t>
  </si>
  <si>
    <t>Zone Expansion</t>
  </si>
  <si>
    <t>Participation Increase</t>
  </si>
  <si>
    <t>CARB 2021 OGV Methodology - Table 12; Simplfied assumptions CA wide. 3.5% growth until 2042. 1% growth 2043 onward</t>
  </si>
  <si>
    <t>Assumption for vessels transitioning to lower carbon fuels (such as LNG) or other technologies with decreased carbon emissions, in accordance with the IMO 2050 GHG Strategy.</t>
  </si>
  <si>
    <t>Duration Expansion</t>
  </si>
  <si>
    <t>Expanding the VSR requests from 7.5 months per year to full time VSR in 2027.</t>
  </si>
  <si>
    <t>Estimated GHG Reductions
(metric tons)</t>
  </si>
  <si>
    <t>GHG Reductions (2025-2030)</t>
  </si>
  <si>
    <t>GHG Reductions (2025-2050)</t>
  </si>
  <si>
    <t>metric tons</t>
  </si>
  <si>
    <t>Alternative Fuel/Technology</t>
  </si>
  <si>
    <t>Source/Notes</t>
  </si>
  <si>
    <t>CARB 2021 OGV Methodology - Table 14; Ratio of emission inventory in waters planned for zone expansion. Assume additional growth in 2030 for West Coast program to include Oregon and Washington.</t>
  </si>
  <si>
    <t>Total Adjustment Factor</t>
  </si>
  <si>
    <t>2023 GHG reductions calculated in accordance with the 2023 BWBS Methodology &amp; performed by Starcrest Consulting Group. Reductions are relative to a 2016-2017 Baseline Period. Apply the Total Adjustment Factor to future years to account for program and industry changes.</t>
  </si>
  <si>
    <t>Assumption for increased participation rates from existing enrolled companies and enrolling new companies. Based on AIS analysis of all vessels with the VSR region.</t>
  </si>
  <si>
    <t>Estimated NOx Reductions
(tons)</t>
  </si>
  <si>
    <t>Estimated PM2.5 Reductions
(tons)</t>
  </si>
  <si>
    <t>tons criteria pollutant reductions 2025-2030</t>
  </si>
  <si>
    <t>tons PM2.5 reductions 2025-2030</t>
  </si>
  <si>
    <t>tons NOx reductions 2025-2030</t>
  </si>
  <si>
    <t>metric tons criteria pollutant reductions 2025-2030</t>
  </si>
  <si>
    <t>metric tons combined GHG and criteria pollutant reductions 2025-2030</t>
  </si>
  <si>
    <t>grant requested</t>
  </si>
  <si>
    <t>$/metric ton GHG only</t>
  </si>
  <si>
    <t>$/ton criteria pollutants only</t>
  </si>
  <si>
    <t>$/metric ton GHG and Criteria</t>
  </si>
  <si>
    <t>Cost Effectiveness 2025-2030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</si>
</sst>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"/>
    <numFmt numFmtId="165" formatCode="0.0%"/>
    <numFmt numFmtId="166" formatCode="#,##0.0"/>
    <numFmt numFmtId="167" formatCode="&quot;$&quot;#,##0.00"/>
    <numFmt numFmtId="168" formatCode="&quot;$&quot;#,##0"/>
    <numFmt numFmtId="169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7">
    <xf numFmtId="0" fontId="0" fillId="0" borderId="0" xfId="0"/>
    <xf numFmtId="3" fontId="0" fillId="0" borderId="0" xfId="0" applyNumberFormat="1"/>
    <xf numFmtId="10" fontId="0" fillId="0" borderId="0" xfId="0" applyNumberFormat="1"/>
    <xf numFmtId="0" fontId="1" fillId="0" borderId="0" xfId="0" applyFont="1"/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9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3" fontId="2" fillId="0" borderId="0" xfId="0" applyNumberFormat="1" applyFont="1"/>
    <xf numFmtId="3" fontId="1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8" fontId="0" fillId="0" borderId="0" xfId="0" applyNumberFormat="1"/>
    <xf numFmtId="2" fontId="1" fillId="2" borderId="1" xfId="0" applyNumberFormat="1" applyFont="1" applyFill="1" applyBorder="1" applyAlignment="1">
      <alignment horizontal="center"/>
    </xf>
    <xf numFmtId="169" fontId="0" fillId="0" borderId="0" xfId="1" applyNumberFormat="1" applyFont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1" fillId="0" borderId="0" xfId="0" applyFont="1" applyAlignment="1">
      <alignment horizontal="right"/>
    </xf>
    <xf numFmtId="168" fontId="1" fillId="0" borderId="2" xfId="0" applyNumberFormat="1" applyFont="1" applyBorder="1"/>
    <xf numFmtId="0" fontId="1" fillId="0" borderId="3" xfId="0" applyFont="1" applyBorder="1"/>
    <xf numFmtId="167" fontId="1" fillId="0" borderId="5" xfId="0" applyNumberFormat="1" applyFont="1" applyBorder="1"/>
    <xf numFmtId="0" fontId="1" fillId="0" borderId="0" xfId="0" applyFont="1" applyBorder="1"/>
    <xf numFmtId="167" fontId="1" fillId="0" borderId="7" xfId="0" applyNumberFormat="1" applyFont="1" applyBorder="1"/>
    <xf numFmtId="0" fontId="1" fillId="0" borderId="8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A4E0A-8F55-497D-8567-46EECD40DB1B}">
  <dimension ref="A1:AG19"/>
  <sheetViews>
    <sheetView tabSelected="1" zoomScaleNormal="100" workbookViewId="0">
      <selection activeCell="H15" sqref="H15"/>
    </sheetView>
  </sheetViews>
  <sheetFormatPr defaultRowHeight="15" customHeight="1" x14ac:dyDescent="0.25"/>
  <cols>
    <col min="1" max="1" width="26.28515625" customWidth="1"/>
    <col min="2" max="2" width="9.28515625" customWidth="1"/>
    <col min="3" max="10" width="7.7109375" customWidth="1"/>
    <col min="11" max="11" width="13.7109375" customWidth="1"/>
    <col min="12" max="29" width="7.7109375" customWidth="1"/>
    <col min="32" max="32" width="17.5703125" customWidth="1"/>
    <col min="33" max="33" width="13.7109375" customWidth="1"/>
    <col min="34" max="34" width="10" customWidth="1"/>
  </cols>
  <sheetData>
    <row r="1" spans="1:33" ht="15" customHeight="1" x14ac:dyDescent="0.25">
      <c r="B1" s="9">
        <v>2023</v>
      </c>
      <c r="C1" s="9">
        <v>2024</v>
      </c>
      <c r="D1" s="9">
        <v>2025</v>
      </c>
      <c r="E1" s="9">
        <v>2026</v>
      </c>
      <c r="F1" s="9">
        <v>2027</v>
      </c>
      <c r="G1" s="9">
        <v>2028</v>
      </c>
      <c r="H1" s="9">
        <v>2029</v>
      </c>
      <c r="I1" s="9">
        <v>2030</v>
      </c>
      <c r="J1" s="9">
        <v>2031</v>
      </c>
      <c r="K1" s="9">
        <v>2032</v>
      </c>
      <c r="L1" s="9">
        <v>2033</v>
      </c>
      <c r="M1" s="9">
        <v>2034</v>
      </c>
      <c r="N1" s="9">
        <v>2035</v>
      </c>
      <c r="O1" s="9">
        <v>2036</v>
      </c>
      <c r="P1" s="9">
        <v>2037</v>
      </c>
      <c r="Q1" s="9">
        <v>2038</v>
      </c>
      <c r="R1" s="9">
        <v>2039</v>
      </c>
      <c r="S1" s="9">
        <v>2040</v>
      </c>
      <c r="T1" s="9">
        <v>2041</v>
      </c>
      <c r="U1" s="9">
        <v>2042</v>
      </c>
      <c r="V1" s="9">
        <v>2043</v>
      </c>
      <c r="W1" s="9">
        <v>2044</v>
      </c>
      <c r="X1" s="9">
        <v>2045</v>
      </c>
      <c r="Y1" s="9">
        <v>2046</v>
      </c>
      <c r="Z1" s="9">
        <v>2047</v>
      </c>
      <c r="AA1" s="9">
        <v>2048</v>
      </c>
      <c r="AB1" s="9">
        <v>2049</v>
      </c>
      <c r="AC1" s="9">
        <v>2050</v>
      </c>
      <c r="AD1" s="3" t="s">
        <v>12</v>
      </c>
      <c r="AE1" s="3"/>
      <c r="AF1" s="5"/>
      <c r="AG1" s="3"/>
    </row>
    <row r="2" spans="1:33" ht="15" customHeight="1" x14ac:dyDescent="0.25">
      <c r="A2" s="8" t="s">
        <v>0</v>
      </c>
      <c r="B2" s="10">
        <v>1</v>
      </c>
      <c r="C2" s="14">
        <f>($B$2+0.035)^(C1-$B$1)</f>
        <v>1.0349999999999999</v>
      </c>
      <c r="D2" s="14">
        <f t="shared" ref="D2:T2" si="0">($B$2+0.035)^(D1-$B$1)</f>
        <v>1.0712249999999999</v>
      </c>
      <c r="E2" s="14">
        <f t="shared" si="0"/>
        <v>1.1087178749999997</v>
      </c>
      <c r="F2" s="14">
        <f t="shared" si="0"/>
        <v>1.1475230006249997</v>
      </c>
      <c r="G2" s="14">
        <f t="shared" si="0"/>
        <v>1.1876863056468745</v>
      </c>
      <c r="H2" s="14">
        <f t="shared" si="0"/>
        <v>1.2292553263445152</v>
      </c>
      <c r="I2" s="14">
        <f t="shared" si="0"/>
        <v>1.2722792627665731</v>
      </c>
      <c r="J2" s="14">
        <f t="shared" si="0"/>
        <v>1.3168090369634029</v>
      </c>
      <c r="K2" s="14">
        <f t="shared" si="0"/>
        <v>1.3628973532571218</v>
      </c>
      <c r="L2" s="14">
        <f t="shared" si="0"/>
        <v>1.410598760621121</v>
      </c>
      <c r="M2" s="14">
        <f t="shared" si="0"/>
        <v>1.4599697172428603</v>
      </c>
      <c r="N2" s="14">
        <f t="shared" si="0"/>
        <v>1.5110686573463603</v>
      </c>
      <c r="O2" s="14">
        <f t="shared" si="0"/>
        <v>1.5639560603534826</v>
      </c>
      <c r="P2" s="14">
        <f t="shared" si="0"/>
        <v>1.6186945224658547</v>
      </c>
      <c r="Q2" s="14">
        <f t="shared" si="0"/>
        <v>1.6753488307521593</v>
      </c>
      <c r="R2" s="14">
        <f t="shared" si="0"/>
        <v>1.7339860398284845</v>
      </c>
      <c r="S2" s="14">
        <f t="shared" si="0"/>
        <v>1.7946755512224815</v>
      </c>
      <c r="T2" s="14">
        <f t="shared" si="0"/>
        <v>1.8574891955152681</v>
      </c>
      <c r="U2" s="14">
        <f>($B$2+0.035)^(U1-$B$1)</f>
        <v>1.9225013173583023</v>
      </c>
      <c r="V2" s="13">
        <f>(($B$2+0.035)^19)*($B$2+0.01)^(V1-$U$1)</f>
        <v>1.9417263305318853</v>
      </c>
      <c r="W2" s="13">
        <f t="shared" ref="W2:AC2" si="1">(($B$2+0.035)^19)*($B$2+0.01)^(W1-$U$1)</f>
        <v>1.9611435938372042</v>
      </c>
      <c r="X2" s="13">
        <f t="shared" si="1"/>
        <v>1.980755029775576</v>
      </c>
      <c r="Y2" s="13">
        <f t="shared" si="1"/>
        <v>2.000562580073332</v>
      </c>
      <c r="Z2" s="13">
        <f t="shared" si="1"/>
        <v>2.0205682058740653</v>
      </c>
      <c r="AA2" s="13">
        <f t="shared" si="1"/>
        <v>2.0407738879328061</v>
      </c>
      <c r="AB2" s="13">
        <f t="shared" si="1"/>
        <v>2.0611816268121337</v>
      </c>
      <c r="AC2" s="13">
        <f t="shared" si="1"/>
        <v>2.0817934430802558</v>
      </c>
      <c r="AD2" t="s">
        <v>3</v>
      </c>
      <c r="AE2" s="2"/>
      <c r="AF2" s="6"/>
    </row>
    <row r="3" spans="1:33" ht="15" customHeight="1" x14ac:dyDescent="0.25">
      <c r="A3" s="8" t="s">
        <v>1</v>
      </c>
      <c r="B3" s="10">
        <v>1</v>
      </c>
      <c r="C3" s="10">
        <v>1</v>
      </c>
      <c r="D3" s="11">
        <v>1.33</v>
      </c>
      <c r="E3" s="11">
        <v>1.33</v>
      </c>
      <c r="F3" s="11">
        <v>1.33</v>
      </c>
      <c r="G3" s="11">
        <v>1.33</v>
      </c>
      <c r="H3" s="11">
        <v>1.33</v>
      </c>
      <c r="I3" s="12">
        <v>1.5</v>
      </c>
      <c r="J3" s="12">
        <v>1.5</v>
      </c>
      <c r="K3" s="12">
        <v>1.5</v>
      </c>
      <c r="L3" s="12">
        <v>1.5</v>
      </c>
      <c r="M3" s="12">
        <v>1.5</v>
      </c>
      <c r="N3" s="12">
        <v>1.5</v>
      </c>
      <c r="O3" s="12">
        <v>1.5</v>
      </c>
      <c r="P3" s="12">
        <v>1.5</v>
      </c>
      <c r="Q3" s="12">
        <v>1.5</v>
      </c>
      <c r="R3" s="12">
        <v>1.5</v>
      </c>
      <c r="S3" s="12">
        <v>1.5</v>
      </c>
      <c r="T3" s="12">
        <v>1.5</v>
      </c>
      <c r="U3" s="12">
        <v>1.5</v>
      </c>
      <c r="V3" s="12">
        <v>1.5</v>
      </c>
      <c r="W3" s="12">
        <v>1.5</v>
      </c>
      <c r="X3" s="12">
        <v>1.5</v>
      </c>
      <c r="Y3" s="12">
        <v>1.5</v>
      </c>
      <c r="Z3" s="12">
        <v>1.5</v>
      </c>
      <c r="AA3" s="12">
        <v>1.5</v>
      </c>
      <c r="AB3" s="12">
        <v>1.5</v>
      </c>
      <c r="AC3" s="12">
        <v>1.5</v>
      </c>
      <c r="AD3" t="s">
        <v>13</v>
      </c>
    </row>
    <row r="4" spans="1:33" ht="15" customHeight="1" x14ac:dyDescent="0.25">
      <c r="A4" s="8" t="s">
        <v>5</v>
      </c>
      <c r="B4" s="10">
        <v>1</v>
      </c>
      <c r="C4" s="10">
        <v>1</v>
      </c>
      <c r="D4" s="10">
        <v>1</v>
      </c>
      <c r="E4" s="10">
        <v>1</v>
      </c>
      <c r="F4" s="12">
        <f>12/7.5</f>
        <v>1.6</v>
      </c>
      <c r="G4" s="12">
        <f t="shared" ref="G4:AC4" si="2">12/7.5</f>
        <v>1.6</v>
      </c>
      <c r="H4" s="12">
        <f t="shared" si="2"/>
        <v>1.6</v>
      </c>
      <c r="I4" s="12">
        <f t="shared" si="2"/>
        <v>1.6</v>
      </c>
      <c r="J4" s="12">
        <f t="shared" si="2"/>
        <v>1.6</v>
      </c>
      <c r="K4" s="12">
        <f t="shared" si="2"/>
        <v>1.6</v>
      </c>
      <c r="L4" s="12">
        <f t="shared" si="2"/>
        <v>1.6</v>
      </c>
      <c r="M4" s="12">
        <f t="shared" si="2"/>
        <v>1.6</v>
      </c>
      <c r="N4" s="12">
        <f t="shared" si="2"/>
        <v>1.6</v>
      </c>
      <c r="O4" s="12">
        <f t="shared" si="2"/>
        <v>1.6</v>
      </c>
      <c r="P4" s="12">
        <f t="shared" si="2"/>
        <v>1.6</v>
      </c>
      <c r="Q4" s="12">
        <f t="shared" si="2"/>
        <v>1.6</v>
      </c>
      <c r="R4" s="12">
        <f t="shared" si="2"/>
        <v>1.6</v>
      </c>
      <c r="S4" s="12">
        <f t="shared" si="2"/>
        <v>1.6</v>
      </c>
      <c r="T4" s="12">
        <f t="shared" si="2"/>
        <v>1.6</v>
      </c>
      <c r="U4" s="12">
        <f t="shared" si="2"/>
        <v>1.6</v>
      </c>
      <c r="V4" s="12">
        <f t="shared" si="2"/>
        <v>1.6</v>
      </c>
      <c r="W4" s="12">
        <f t="shared" si="2"/>
        <v>1.6</v>
      </c>
      <c r="X4" s="12">
        <f t="shared" si="2"/>
        <v>1.6</v>
      </c>
      <c r="Y4" s="12">
        <f t="shared" si="2"/>
        <v>1.6</v>
      </c>
      <c r="Z4" s="12">
        <f t="shared" si="2"/>
        <v>1.6</v>
      </c>
      <c r="AA4" s="12">
        <f t="shared" si="2"/>
        <v>1.6</v>
      </c>
      <c r="AB4" s="12">
        <f t="shared" si="2"/>
        <v>1.6</v>
      </c>
      <c r="AC4" s="12">
        <f t="shared" si="2"/>
        <v>1.6</v>
      </c>
      <c r="AD4" t="s">
        <v>6</v>
      </c>
    </row>
    <row r="5" spans="1:33" ht="15" customHeight="1" x14ac:dyDescent="0.25">
      <c r="A5" s="8" t="s">
        <v>2</v>
      </c>
      <c r="B5" s="10">
        <v>1</v>
      </c>
      <c r="C5" s="14">
        <v>1.1499999999999999</v>
      </c>
      <c r="D5" s="14">
        <v>1.3</v>
      </c>
      <c r="E5" s="11">
        <v>1.45</v>
      </c>
      <c r="F5" s="12">
        <v>1.5</v>
      </c>
      <c r="G5" s="12">
        <v>1.5</v>
      </c>
      <c r="H5" s="12">
        <v>1.5</v>
      </c>
      <c r="I5" s="12">
        <v>1.5</v>
      </c>
      <c r="J5" s="12">
        <v>1.5</v>
      </c>
      <c r="K5" s="12">
        <v>1.5</v>
      </c>
      <c r="L5" s="12">
        <v>1.5</v>
      </c>
      <c r="M5" s="12">
        <v>1.5</v>
      </c>
      <c r="N5" s="12">
        <v>1.5</v>
      </c>
      <c r="O5" s="12">
        <v>1.5</v>
      </c>
      <c r="P5" s="12">
        <v>1.5</v>
      </c>
      <c r="Q5" s="12">
        <v>1.5</v>
      </c>
      <c r="R5" s="12">
        <v>1.5</v>
      </c>
      <c r="S5" s="12">
        <v>1.5</v>
      </c>
      <c r="T5" s="12">
        <v>1.5</v>
      </c>
      <c r="U5" s="12">
        <v>1.5</v>
      </c>
      <c r="V5" s="12">
        <v>1.5</v>
      </c>
      <c r="W5" s="12">
        <v>1.5</v>
      </c>
      <c r="X5" s="12">
        <v>1.5</v>
      </c>
      <c r="Y5" s="12">
        <v>1.5</v>
      </c>
      <c r="Z5" s="12">
        <v>1.5</v>
      </c>
      <c r="AA5" s="12">
        <v>1.5</v>
      </c>
      <c r="AB5" s="12">
        <v>1.5</v>
      </c>
      <c r="AC5" s="12">
        <v>1.5</v>
      </c>
      <c r="AD5" t="s">
        <v>16</v>
      </c>
    </row>
    <row r="6" spans="1:33" ht="15" customHeight="1" x14ac:dyDescent="0.25">
      <c r="A6" s="8" t="s">
        <v>11</v>
      </c>
      <c r="B6" s="10">
        <v>1</v>
      </c>
      <c r="C6" s="13">
        <f>($B$6-0.035)^(C1-$B$1)</f>
        <v>0.96499999999999997</v>
      </c>
      <c r="D6" s="13">
        <f t="shared" ref="D6:AC6" si="3">($B$6-0.035)^(D1-$B$1)</f>
        <v>0.93122499999999997</v>
      </c>
      <c r="E6" s="13">
        <f t="shared" si="3"/>
        <v>0.89863212499999989</v>
      </c>
      <c r="F6" s="13">
        <f t="shared" si="3"/>
        <v>0.86718000062499989</v>
      </c>
      <c r="G6" s="13">
        <f t="shared" si="3"/>
        <v>0.83682870060312486</v>
      </c>
      <c r="H6" s="13">
        <f t="shared" si="3"/>
        <v>0.80753969608201548</v>
      </c>
      <c r="I6" s="13">
        <f t="shared" si="3"/>
        <v>0.77927580671914487</v>
      </c>
      <c r="J6" s="13">
        <f t="shared" si="3"/>
        <v>0.75200115348397478</v>
      </c>
      <c r="K6" s="13">
        <f t="shared" si="3"/>
        <v>0.72568111311203565</v>
      </c>
      <c r="L6" s="13">
        <f t="shared" si="3"/>
        <v>0.70028227415311439</v>
      </c>
      <c r="M6" s="13">
        <f t="shared" si="3"/>
        <v>0.67577239455775528</v>
      </c>
      <c r="N6" s="13">
        <f t="shared" si="3"/>
        <v>0.65212036074823387</v>
      </c>
      <c r="O6" s="13">
        <f t="shared" si="3"/>
        <v>0.62929614812204571</v>
      </c>
      <c r="P6" s="13">
        <f t="shared" si="3"/>
        <v>0.60727078293777403</v>
      </c>
      <c r="Q6" s="13">
        <f t="shared" si="3"/>
        <v>0.58601630553495188</v>
      </c>
      <c r="R6" s="13">
        <f t="shared" si="3"/>
        <v>0.56550573484122857</v>
      </c>
      <c r="S6" s="13">
        <f t="shared" si="3"/>
        <v>0.54571303412178551</v>
      </c>
      <c r="T6" s="13">
        <f t="shared" si="3"/>
        <v>0.5266130779275231</v>
      </c>
      <c r="U6" s="13">
        <f t="shared" si="3"/>
        <v>0.50818162020005975</v>
      </c>
      <c r="V6" s="13">
        <f t="shared" si="3"/>
        <v>0.49039526349305762</v>
      </c>
      <c r="W6" s="13">
        <f t="shared" si="3"/>
        <v>0.47323142927080059</v>
      </c>
      <c r="X6" s="13">
        <f t="shared" si="3"/>
        <v>0.45666832924632256</v>
      </c>
      <c r="Y6" s="13">
        <f t="shared" si="3"/>
        <v>0.44068493772270123</v>
      </c>
      <c r="Z6" s="13">
        <f t="shared" si="3"/>
        <v>0.42526096490240667</v>
      </c>
      <c r="AA6" s="13">
        <f t="shared" si="3"/>
        <v>0.41037683113082241</v>
      </c>
      <c r="AB6" s="13">
        <f t="shared" si="3"/>
        <v>0.39601364204124362</v>
      </c>
      <c r="AC6" s="13">
        <f t="shared" si="3"/>
        <v>0.38215316456980003</v>
      </c>
      <c r="AD6" t="s">
        <v>4</v>
      </c>
      <c r="AE6" s="4"/>
      <c r="AF6" s="7"/>
    </row>
    <row r="7" spans="1:33" ht="15" customHeight="1" x14ac:dyDescent="0.25">
      <c r="A7" s="8" t="s">
        <v>14</v>
      </c>
      <c r="B7" s="22">
        <f>B2*B3*B4*B5*B6</f>
        <v>1</v>
      </c>
      <c r="C7" s="22">
        <f t="shared" ref="C7:AC7" si="4">C2*C3*C4*C5*C6</f>
        <v>1.1485912499999997</v>
      </c>
      <c r="D7" s="22">
        <f t="shared" si="4"/>
        <v>1.7247665445806248</v>
      </c>
      <c r="E7" s="22">
        <f t="shared" si="4"/>
        <v>1.9214214408208417</v>
      </c>
      <c r="F7" s="22">
        <f t="shared" si="4"/>
        <v>3.1763879165062119</v>
      </c>
      <c r="G7" s="22">
        <f t="shared" si="4"/>
        <v>3.1724968413084911</v>
      </c>
      <c r="H7" s="22">
        <f t="shared" si="4"/>
        <v>3.1686105326778886</v>
      </c>
      <c r="I7" s="22">
        <f t="shared" si="4"/>
        <v>3.5692432159120573</v>
      </c>
      <c r="J7" s="22">
        <f t="shared" si="4"/>
        <v>3.5648708929725639</v>
      </c>
      <c r="K7" s="22">
        <f t="shared" si="4"/>
        <v>3.5605039261286722</v>
      </c>
      <c r="L7" s="22">
        <f t="shared" si="4"/>
        <v>3.5561423088191639</v>
      </c>
      <c r="M7" s="22">
        <f t="shared" si="4"/>
        <v>3.5517860344908607</v>
      </c>
      <c r="N7" s="22">
        <f t="shared" si="4"/>
        <v>3.5474350965986088</v>
      </c>
      <c r="O7" s="22">
        <f t="shared" si="4"/>
        <v>3.5430894886052746</v>
      </c>
      <c r="P7" s="22">
        <f t="shared" si="4"/>
        <v>3.5387492039817325</v>
      </c>
      <c r="Q7" s="22">
        <f t="shared" si="4"/>
        <v>3.5344142362068549</v>
      </c>
      <c r="R7" s="22">
        <f t="shared" si="4"/>
        <v>3.5300845787675001</v>
      </c>
      <c r="S7" s="22">
        <f t="shared" si="4"/>
        <v>3.5257602251585096</v>
      </c>
      <c r="T7" s="22">
        <f t="shared" si="4"/>
        <v>3.5214411688826908</v>
      </c>
      <c r="U7" s="22">
        <f t="shared" si="4"/>
        <v>3.5171274034508087</v>
      </c>
      <c r="V7" s="22">
        <f t="shared" si="4"/>
        <v>3.42796822377333</v>
      </c>
      <c r="W7" s="22">
        <f t="shared" si="4"/>
        <v>3.3410692293006767</v>
      </c>
      <c r="X7" s="22">
        <f t="shared" si="4"/>
        <v>3.2563731243379039</v>
      </c>
      <c r="Y7" s="22">
        <f t="shared" si="4"/>
        <v>3.1738240656359382</v>
      </c>
      <c r="Z7" s="22">
        <f t="shared" si="4"/>
        <v>3.0933676255720672</v>
      </c>
      <c r="AA7" s="22">
        <f t="shared" si="4"/>
        <v>3.0149507562638154</v>
      </c>
      <c r="AB7" s="22">
        <f t="shared" si="4"/>
        <v>2.9385217545925264</v>
      </c>
      <c r="AC7" s="22">
        <f t="shared" si="4"/>
        <v>2.8640302281136067</v>
      </c>
    </row>
    <row r="9" spans="1:33" s="16" customFormat="1" ht="31.5" customHeight="1" x14ac:dyDescent="0.25">
      <c r="A9" s="15" t="s">
        <v>7</v>
      </c>
      <c r="B9" s="19">
        <v>45784</v>
      </c>
      <c r="C9" s="19">
        <f>$B$9*C7</f>
        <v>52587.101789999986</v>
      </c>
      <c r="D9" s="19">
        <f t="shared" ref="D9:AC9" si="5">$B$9*D7</f>
        <v>78966.711477079327</v>
      </c>
      <c r="E9" s="19">
        <f t="shared" si="5"/>
        <v>87970.359246541411</v>
      </c>
      <c r="F9" s="19">
        <f t="shared" si="5"/>
        <v>145427.7443693204</v>
      </c>
      <c r="G9" s="19">
        <f t="shared" si="5"/>
        <v>145249.59538246796</v>
      </c>
      <c r="H9" s="19">
        <f t="shared" si="5"/>
        <v>145071.66462812445</v>
      </c>
      <c r="I9" s="19">
        <f t="shared" si="5"/>
        <v>163414.23139731764</v>
      </c>
      <c r="J9" s="19">
        <f t="shared" si="5"/>
        <v>163214.04896385586</v>
      </c>
      <c r="K9" s="19">
        <f t="shared" si="5"/>
        <v>163014.11175387513</v>
      </c>
      <c r="L9" s="19">
        <f t="shared" si="5"/>
        <v>162814.4194669766</v>
      </c>
      <c r="M9" s="19">
        <f t="shared" si="5"/>
        <v>162614.97180312956</v>
      </c>
      <c r="N9" s="19">
        <f t="shared" si="5"/>
        <v>162415.76846267071</v>
      </c>
      <c r="O9" s="19">
        <f t="shared" si="5"/>
        <v>162216.80914630389</v>
      </c>
      <c r="P9" s="19">
        <f t="shared" si="5"/>
        <v>162018.09355509965</v>
      </c>
      <c r="Q9" s="19">
        <f t="shared" si="5"/>
        <v>161819.62139049463</v>
      </c>
      <c r="R9" s="19">
        <f t="shared" si="5"/>
        <v>161621.39235429122</v>
      </c>
      <c r="S9" s="19">
        <f t="shared" si="5"/>
        <v>161423.4061486572</v>
      </c>
      <c r="T9" s="19">
        <f t="shared" si="5"/>
        <v>161225.66247612512</v>
      </c>
      <c r="U9" s="19">
        <f t="shared" si="5"/>
        <v>161028.16103959183</v>
      </c>
      <c r="V9" s="19">
        <f t="shared" si="5"/>
        <v>156946.09715723814</v>
      </c>
      <c r="W9" s="19">
        <f t="shared" si="5"/>
        <v>152967.51359430217</v>
      </c>
      <c r="X9" s="19">
        <f t="shared" si="5"/>
        <v>149089.78712468658</v>
      </c>
      <c r="Y9" s="19">
        <f t="shared" si="5"/>
        <v>145310.36102107581</v>
      </c>
      <c r="Z9" s="19">
        <f t="shared" si="5"/>
        <v>141626.74336919154</v>
      </c>
      <c r="AA9" s="19">
        <f t="shared" si="5"/>
        <v>138036.50542478252</v>
      </c>
      <c r="AB9" s="19">
        <f t="shared" si="5"/>
        <v>134537.28001226424</v>
      </c>
      <c r="AC9" s="19">
        <f t="shared" si="5"/>
        <v>131126.75996395337</v>
      </c>
      <c r="AD9" s="17" t="s">
        <v>15</v>
      </c>
    </row>
    <row r="10" spans="1:33" ht="30" x14ac:dyDescent="0.25">
      <c r="A10" s="15" t="s">
        <v>17</v>
      </c>
      <c r="B10" s="19">
        <v>1256</v>
      </c>
      <c r="C10" s="19">
        <f>$B$10*C$7</f>
        <v>1442.6306099999997</v>
      </c>
      <c r="D10" s="19">
        <f t="shared" ref="D10:I10" si="6">$B$10*D$7</f>
        <v>2166.3067799932646</v>
      </c>
      <c r="E10" s="19">
        <f t="shared" si="6"/>
        <v>2413.3053296709772</v>
      </c>
      <c r="F10" s="19">
        <f t="shared" si="6"/>
        <v>3989.5432231318023</v>
      </c>
      <c r="G10" s="19">
        <f t="shared" si="6"/>
        <v>3984.6560326834647</v>
      </c>
      <c r="H10" s="19">
        <f t="shared" si="6"/>
        <v>3979.7748290434283</v>
      </c>
      <c r="I10" s="19">
        <f t="shared" si="6"/>
        <v>4482.9694791855436</v>
      </c>
      <c r="K10" s="1">
        <f>ROUNDDOWN(SUM(D10:I10),0)</f>
        <v>21016</v>
      </c>
      <c r="L10" t="s">
        <v>21</v>
      </c>
    </row>
    <row r="11" spans="1:33" ht="45" x14ac:dyDescent="0.25">
      <c r="A11" s="15" t="s">
        <v>18</v>
      </c>
      <c r="B11" s="20">
        <v>5.2</v>
      </c>
      <c r="C11" s="20">
        <f>$B$11*C$7</f>
        <v>5.9726744999999992</v>
      </c>
      <c r="D11" s="20">
        <f t="shared" ref="D11:I11" si="7">$B$11*D$7</f>
        <v>8.9687860318192492</v>
      </c>
      <c r="E11" s="20">
        <f t="shared" si="7"/>
        <v>9.9913914922683773</v>
      </c>
      <c r="F11" s="20">
        <f t="shared" si="7"/>
        <v>16.517217165832303</v>
      </c>
      <c r="G11" s="20">
        <f t="shared" si="7"/>
        <v>16.496983574804155</v>
      </c>
      <c r="H11" s="20">
        <f t="shared" si="7"/>
        <v>16.476774769925022</v>
      </c>
      <c r="I11" s="20">
        <f t="shared" si="7"/>
        <v>18.560064722742698</v>
      </c>
      <c r="K11" s="1">
        <f>ROUNDDOWN(SUM(D11:I11),0)</f>
        <v>87</v>
      </c>
      <c r="L11" t="s">
        <v>20</v>
      </c>
    </row>
    <row r="12" spans="1:33" ht="15" customHeight="1" x14ac:dyDescent="0.25">
      <c r="K12" s="1">
        <f>K10+K11</f>
        <v>21103</v>
      </c>
      <c r="L12" t="s">
        <v>19</v>
      </c>
    </row>
    <row r="13" spans="1:33" ht="15" customHeight="1" x14ac:dyDescent="0.25">
      <c r="K13" s="23">
        <f>ROUNDDOWN(K12/1.102,0)</f>
        <v>19149</v>
      </c>
      <c r="L13" t="s">
        <v>22</v>
      </c>
    </row>
    <row r="14" spans="1:33" ht="15" customHeight="1" x14ac:dyDescent="0.25">
      <c r="A14" s="3" t="s">
        <v>8</v>
      </c>
      <c r="B14" s="1">
        <f>SUM(D9:I9)</f>
        <v>766100.30650085118</v>
      </c>
      <c r="C14" t="s">
        <v>10</v>
      </c>
      <c r="K14" s="1">
        <f>K13+B14</f>
        <v>785249.30650085118</v>
      </c>
      <c r="L14" t="s">
        <v>23</v>
      </c>
    </row>
    <row r="15" spans="1:33" ht="15" customHeight="1" x14ac:dyDescent="0.25">
      <c r="A15" s="3" t="s">
        <v>9</v>
      </c>
      <c r="B15" s="1">
        <f>SUM(D9:AC9)</f>
        <v>3861167.8207294173</v>
      </c>
      <c r="C15" t="s">
        <v>10</v>
      </c>
      <c r="K15" s="21">
        <v>14374322</v>
      </c>
      <c r="L15" t="s">
        <v>24</v>
      </c>
    </row>
    <row r="16" spans="1:33" ht="15" customHeight="1" thickBot="1" x14ac:dyDescent="0.3">
      <c r="A16" s="3"/>
      <c r="B16" s="1"/>
      <c r="K16" s="21"/>
    </row>
    <row r="17" spans="2:15" ht="15" customHeight="1" x14ac:dyDescent="0.25">
      <c r="B17" s="18"/>
      <c r="J17" s="30" t="s">
        <v>28</v>
      </c>
      <c r="K17" s="31">
        <f>K15/K12</f>
        <v>681.15064208880256</v>
      </c>
      <c r="L17" s="32" t="s">
        <v>26</v>
      </c>
      <c r="M17" s="24"/>
      <c r="N17" s="24"/>
      <c r="O17" s="25"/>
    </row>
    <row r="18" spans="2:15" ht="15" customHeight="1" x14ac:dyDescent="0.25">
      <c r="K18" s="33">
        <f>K15/B14</f>
        <v>18.76297643797383</v>
      </c>
      <c r="L18" s="34" t="s">
        <v>25</v>
      </c>
      <c r="M18" s="26"/>
      <c r="N18" s="26"/>
      <c r="O18" s="27"/>
    </row>
    <row r="19" spans="2:15" ht="15" customHeight="1" thickBot="1" x14ac:dyDescent="0.3">
      <c r="K19" s="35">
        <f>K15/K14</f>
        <v>18.305424635207135</v>
      </c>
      <c r="L19" s="36" t="s">
        <v>27</v>
      </c>
      <c r="M19" s="28"/>
      <c r="N19" s="28"/>
      <c r="O19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J. Mitro</dc:creator>
  <cp:lastModifiedBy>Tyler Harris</cp:lastModifiedBy>
  <dcterms:created xsi:type="dcterms:W3CDTF">2015-06-05T18:17:20Z</dcterms:created>
  <dcterms:modified xsi:type="dcterms:W3CDTF">2024-03-21T18:11:07Z</dcterms:modified>
</cp:coreProperties>
</file>