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 codeName="ThisWorkbook" defaultThemeVersion="166925"/>
  <xr:revisionPtr revIDLastSave="0" documentId="13_ncr:1_{022992B7-2349-478B-AD62-3353F569CDB8}" xr6:coauthVersionLast="47" xr6:coauthVersionMax="47" xr10:uidLastSave="{00000000-0000-0000-0000-000000000000}"/>
  <bookViews>
    <workbookView xWindow="-23148" yWindow="-1476" windowWidth="23256" windowHeight="12456" activeTab="1" xr2:uid="{AAC398A2-E95D-4231-A920-55B8B1C73F3F}"/>
  </bookViews>
  <sheets>
    <sheet name="Overview" sheetId="26" r:id="rId1"/>
    <sheet name="Consolidated Budget" sheetId="30" r:id="rId2"/>
    <sheet name="Project 1 Budget" sheetId="16" r:id="rId3"/>
    <sheet name="Project 2 Budget" sheetId="28" r:id="rId4"/>
    <sheet name="Project 3 Budget" sheetId="27" r:id="rId5"/>
    <sheet name="DEQ Staff Costs" sheetId="35" state="hidden" r:id="rId6"/>
    <sheet name="Travel" sheetId="36" state="hidden" r:id="rId7"/>
    <sheet name="Measure 4 Budget" sheetId="29" state="hidden" r:id="rId8"/>
    <sheet name="Measure 5 Budget" sheetId="31" state="hidden" r:id="rId9"/>
    <sheet name="Sample Budget 1" sheetId="32" state="hidden" r:id="rId10"/>
    <sheet name="Sample Budget 2" sheetId="33" state="hidden" r:id="rId11"/>
    <sheet name="Sample Budget 3" sheetId="34" state="hidden" r:id="rId12"/>
  </sheets>
  <definedNames>
    <definedName name="_xlnm._FilterDatabase" localSheetId="1" hidden="1">'Consolidated Budget'!#REF!</definedName>
    <definedName name="_xlnm._FilterDatabase" localSheetId="7" hidden="1">'Measure 4 Budget'!#REF!</definedName>
    <definedName name="_xlnm._FilterDatabase" localSheetId="8" hidden="1">'Measure 5 Budget'!#REF!</definedName>
    <definedName name="_xlnm._FilterDatabase" localSheetId="2" hidden="1">'Project 1 Budget'!#REF!</definedName>
    <definedName name="_xlnm._FilterDatabase" localSheetId="3" hidden="1">'Project 2 Budget'!#REF!</definedName>
    <definedName name="_xlnm._FilterDatabase" localSheetId="4" hidden="1">'Project 3 Budget'!#REF!</definedName>
    <definedName name="_xlnm._FilterDatabase" localSheetId="9" hidden="1">'Sample Budget 1'!#REF!</definedName>
    <definedName name="_xlnm._FilterDatabase" localSheetId="10" hidden="1">'Sample Budget 2'!#REF!</definedName>
    <definedName name="_xlnm._FilterDatabase" localSheetId="11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16" l="1"/>
  <c r="H17" i="16"/>
  <c r="E59" i="16"/>
  <c r="H59" i="16"/>
  <c r="F59" i="16" l="1"/>
  <c r="G59" i="16"/>
  <c r="D59" i="16"/>
  <c r="H53" i="16"/>
  <c r="G53" i="16"/>
  <c r="F53" i="16"/>
  <c r="E53" i="16"/>
  <c r="D53" i="16"/>
  <c r="D52" i="16"/>
  <c r="E52" i="16"/>
  <c r="F52" i="16"/>
  <c r="G52" i="16"/>
  <c r="H52" i="16"/>
  <c r="E49" i="16"/>
  <c r="D49" i="16"/>
  <c r="F49" i="16"/>
  <c r="G49" i="16"/>
  <c r="H49" i="16"/>
  <c r="H48" i="16"/>
  <c r="D48" i="16"/>
  <c r="G48" i="16"/>
  <c r="E48" i="16"/>
  <c r="F48" i="16"/>
  <c r="G47" i="16"/>
  <c r="E47" i="16"/>
  <c r="F47" i="16"/>
  <c r="D47" i="16"/>
  <c r="F30" i="27"/>
  <c r="D30" i="27"/>
  <c r="E30" i="27"/>
  <c r="F30" i="28"/>
  <c r="H30" i="28"/>
  <c r="G30" i="28"/>
  <c r="E30" i="28"/>
  <c r="D30" i="28"/>
  <c r="H50" i="16"/>
  <c r="G50" i="16"/>
  <c r="E50" i="16"/>
  <c r="F50" i="16"/>
  <c r="D50" i="16"/>
  <c r="C13" i="36" l="1"/>
  <c r="C12" i="36"/>
  <c r="H12" i="16"/>
  <c r="H18" i="28"/>
  <c r="G18" i="28"/>
  <c r="F18" i="28"/>
  <c r="E18" i="28"/>
  <c r="D18" i="28"/>
  <c r="E13" i="28"/>
  <c r="E40" i="28" s="1"/>
  <c r="F13" i="28"/>
  <c r="F15" i="28" s="1"/>
  <c r="F16" i="28" s="1"/>
  <c r="G13" i="28"/>
  <c r="G15" i="28" s="1"/>
  <c r="G16" i="28" s="1"/>
  <c r="H13" i="28"/>
  <c r="H15" i="28" s="1"/>
  <c r="H16" i="28" s="1"/>
  <c r="D13" i="28"/>
  <c r="I50" i="28"/>
  <c r="I51" i="28" s="1"/>
  <c r="I47" i="28"/>
  <c r="I49" i="27"/>
  <c r="I50" i="27" s="1"/>
  <c r="I46" i="27"/>
  <c r="I73" i="16"/>
  <c r="I74" i="16" s="1"/>
  <c r="I70" i="16"/>
  <c r="I71" i="16"/>
  <c r="J12" i="28"/>
  <c r="D15" i="28" l="1"/>
  <c r="D40" i="28"/>
  <c r="H40" i="28"/>
  <c r="G40" i="28"/>
  <c r="E15" i="28"/>
  <c r="E16" i="28" s="1"/>
  <c r="F40" i="28"/>
  <c r="E19" i="27" l="1"/>
  <c r="F19" i="27"/>
  <c r="G19" i="27"/>
  <c r="H19" i="27"/>
  <c r="D19" i="27"/>
  <c r="J12" i="27"/>
  <c r="J31" i="28" l="1"/>
  <c r="J32" i="28"/>
  <c r="J33" i="28"/>
  <c r="J34" i="28"/>
  <c r="J35" i="28"/>
  <c r="J30" i="28"/>
  <c r="F19" i="28" l="1"/>
  <c r="F9" i="30" s="1"/>
  <c r="D19" i="28"/>
  <c r="E18" i="16"/>
  <c r="F18" i="16"/>
  <c r="G18" i="16"/>
  <c r="H18" i="16"/>
  <c r="D18" i="16"/>
  <c r="G19" i="28"/>
  <c r="G9" i="30" s="1"/>
  <c r="E19" i="28"/>
  <c r="E9" i="30" s="1"/>
  <c r="J18" i="27"/>
  <c r="I43" i="28"/>
  <c r="I48" i="28" s="1"/>
  <c r="H36" i="28"/>
  <c r="G36" i="28"/>
  <c r="F36" i="28"/>
  <c r="E36" i="28"/>
  <c r="D36" i="28"/>
  <c r="J36" i="28" s="1"/>
  <c r="H28" i="28"/>
  <c r="G28" i="28"/>
  <c r="F28" i="28"/>
  <c r="E28" i="28"/>
  <c r="D28" i="28"/>
  <c r="J27" i="28"/>
  <c r="J28" i="28" s="1"/>
  <c r="H25" i="28"/>
  <c r="G25" i="28"/>
  <c r="G11" i="30" s="1"/>
  <c r="F25" i="28"/>
  <c r="E25" i="28"/>
  <c r="D25" i="28"/>
  <c r="J24" i="28"/>
  <c r="J25" i="28" s="1"/>
  <c r="H22" i="28"/>
  <c r="H10" i="30" s="1"/>
  <c r="G22" i="28"/>
  <c r="G10" i="30" s="1"/>
  <c r="F22" i="28"/>
  <c r="E22" i="28"/>
  <c r="E10" i="30" s="1"/>
  <c r="D22" i="28"/>
  <c r="J21" i="28"/>
  <c r="J22" i="28" s="1"/>
  <c r="J17" i="28"/>
  <c r="E28" i="27"/>
  <c r="F28" i="27"/>
  <c r="G28" i="27"/>
  <c r="H28" i="27"/>
  <c r="D28" i="27"/>
  <c r="J27" i="27"/>
  <c r="H25" i="27"/>
  <c r="G25" i="27"/>
  <c r="F25" i="27"/>
  <c r="E25" i="27"/>
  <c r="D25" i="27"/>
  <c r="J24" i="27"/>
  <c r="J25" i="27" s="1"/>
  <c r="H22" i="27"/>
  <c r="G22" i="27"/>
  <c r="F22" i="27"/>
  <c r="E22" i="27"/>
  <c r="D22" i="27"/>
  <c r="J21" i="27"/>
  <c r="J22" i="27" s="1"/>
  <c r="E35" i="16"/>
  <c r="F35" i="16"/>
  <c r="G35" i="16"/>
  <c r="H35" i="16"/>
  <c r="D35" i="16"/>
  <c r="J23" i="16"/>
  <c r="J20" i="16"/>
  <c r="J58" i="16"/>
  <c r="F10" i="30" l="1"/>
  <c r="H11" i="30"/>
  <c r="E12" i="30"/>
  <c r="D11" i="30"/>
  <c r="F12" i="30"/>
  <c r="D12" i="30"/>
  <c r="E11" i="30"/>
  <c r="G12" i="30"/>
  <c r="F11" i="30"/>
  <c r="H12" i="30"/>
  <c r="E50" i="28"/>
  <c r="D9" i="30"/>
  <c r="F50" i="28"/>
  <c r="G50" i="28"/>
  <c r="J18" i="16"/>
  <c r="D10" i="30"/>
  <c r="J18" i="28"/>
  <c r="J19" i="28" s="1"/>
  <c r="H19" i="28"/>
  <c r="H50" i="28" s="1"/>
  <c r="J19" i="27"/>
  <c r="J17" i="16"/>
  <c r="H9" i="30" l="1"/>
  <c r="J9" i="30" s="1"/>
  <c r="J16" i="16"/>
  <c r="E9" i="36"/>
  <c r="G9" i="36" s="1"/>
  <c r="G8" i="36"/>
  <c r="G7" i="36"/>
  <c r="E4" i="36"/>
  <c r="G4" i="36" s="1"/>
  <c r="G5" i="36" s="1"/>
  <c r="G3" i="36"/>
  <c r="G2" i="36"/>
  <c r="I48" i="35"/>
  <c r="L43" i="35"/>
  <c r="K43" i="35"/>
  <c r="I38" i="35"/>
  <c r="L33" i="35"/>
  <c r="K33" i="35"/>
  <c r="I28" i="35"/>
  <c r="L23" i="35"/>
  <c r="K23" i="35"/>
  <c r="I18" i="35"/>
  <c r="L13" i="35"/>
  <c r="K13" i="35"/>
  <c r="I8" i="35"/>
  <c r="E7" i="35"/>
  <c r="H7" i="35" s="1"/>
  <c r="E6" i="35"/>
  <c r="H6" i="35" s="1"/>
  <c r="E5" i="35"/>
  <c r="H5" i="35" s="1"/>
  <c r="E4" i="35"/>
  <c r="H4" i="35" s="1"/>
  <c r="L3" i="35"/>
  <c r="K3" i="35"/>
  <c r="I51" i="35" l="1"/>
  <c r="G13" i="36"/>
  <c r="G10" i="36"/>
  <c r="H17" i="35"/>
  <c r="J7" i="35"/>
  <c r="H14" i="35"/>
  <c r="J4" i="35"/>
  <c r="J6" i="35"/>
  <c r="H16" i="35"/>
  <c r="H15" i="35"/>
  <c r="J5" i="35"/>
  <c r="J59" i="16"/>
  <c r="H26" i="35" l="1"/>
  <c r="J16" i="35"/>
  <c r="L5" i="35"/>
  <c r="K5" i="35"/>
  <c r="M5" i="35" s="1"/>
  <c r="H25" i="35"/>
  <c r="J15" i="35"/>
  <c r="K6" i="35"/>
  <c r="L6" i="35"/>
  <c r="H24" i="35"/>
  <c r="J14" i="35"/>
  <c r="L7" i="35"/>
  <c r="K7" i="35"/>
  <c r="M7" i="35" s="1"/>
  <c r="L4" i="35"/>
  <c r="K4" i="35"/>
  <c r="J8" i="35"/>
  <c r="J17" i="35"/>
  <c r="H27" i="35"/>
  <c r="M6" i="35" l="1"/>
  <c r="K8" i="35"/>
  <c r="L8" i="35"/>
  <c r="D41" i="28" s="1"/>
  <c r="H36" i="35"/>
  <c r="J26" i="35"/>
  <c r="L15" i="35"/>
  <c r="K15" i="35"/>
  <c r="M15" i="35" s="1"/>
  <c r="H35" i="35"/>
  <c r="J25" i="35"/>
  <c r="H37" i="35"/>
  <c r="J27" i="35"/>
  <c r="L17" i="35"/>
  <c r="K17" i="35"/>
  <c r="M17" i="35" s="1"/>
  <c r="H34" i="35"/>
  <c r="J24" i="35"/>
  <c r="J18" i="35"/>
  <c r="L14" i="35"/>
  <c r="K14" i="35"/>
  <c r="M4" i="35"/>
  <c r="K16" i="35"/>
  <c r="L16" i="35"/>
  <c r="M8" i="35" l="1"/>
  <c r="M16" i="35"/>
  <c r="E13" i="27"/>
  <c r="M14" i="35"/>
  <c r="D16" i="28"/>
  <c r="H45" i="35"/>
  <c r="J45" i="35" s="1"/>
  <c r="J35" i="35"/>
  <c r="J34" i="35"/>
  <c r="H44" i="35"/>
  <c r="J44" i="35" s="1"/>
  <c r="L25" i="35"/>
  <c r="K25" i="35"/>
  <c r="M25" i="35" s="1"/>
  <c r="L18" i="35"/>
  <c r="E41" i="28" s="1"/>
  <c r="H47" i="35"/>
  <c r="J47" i="35" s="1"/>
  <c r="J37" i="35"/>
  <c r="L26" i="35"/>
  <c r="K26" i="35"/>
  <c r="J28" i="35"/>
  <c r="L24" i="35"/>
  <c r="K24" i="35"/>
  <c r="K18" i="35"/>
  <c r="L27" i="35"/>
  <c r="K27" i="35"/>
  <c r="H46" i="35"/>
  <c r="J46" i="35" s="1"/>
  <c r="J36" i="35"/>
  <c r="E15" i="27" l="1"/>
  <c r="E16" i="27" s="1"/>
  <c r="D50" i="28"/>
  <c r="E40" i="27"/>
  <c r="M18" i="35"/>
  <c r="M26" i="35"/>
  <c r="L46" i="35"/>
  <c r="J9" i="16"/>
  <c r="J11" i="16"/>
  <c r="J9" i="27"/>
  <c r="M27" i="35"/>
  <c r="L28" i="35"/>
  <c r="F41" i="28" s="1"/>
  <c r="F13" i="27"/>
  <c r="L36" i="35"/>
  <c r="K36" i="35"/>
  <c r="K46" i="35"/>
  <c r="K34" i="35"/>
  <c r="J38" i="35"/>
  <c r="L34" i="35"/>
  <c r="L37" i="35"/>
  <c r="K37" i="35"/>
  <c r="M37" i="35" s="1"/>
  <c r="K28" i="35"/>
  <c r="L47" i="35"/>
  <c r="K47" i="35"/>
  <c r="L35" i="35"/>
  <c r="K35" i="35"/>
  <c r="M35" i="35" s="1"/>
  <c r="L44" i="35"/>
  <c r="J48" i="35"/>
  <c r="K44" i="35"/>
  <c r="M24" i="35"/>
  <c r="K45" i="35"/>
  <c r="L45" i="35"/>
  <c r="M45" i="35" s="1"/>
  <c r="M36" i="35" l="1"/>
  <c r="J9" i="28"/>
  <c r="G13" i="27"/>
  <c r="J11" i="28"/>
  <c r="M47" i="35"/>
  <c r="J11" i="27"/>
  <c r="J10" i="16"/>
  <c r="J10" i="27"/>
  <c r="M46" i="35"/>
  <c r="H13" i="27"/>
  <c r="L48" i="35"/>
  <c r="J51" i="35"/>
  <c r="K38" i="35"/>
  <c r="M28" i="35"/>
  <c r="F37" i="28"/>
  <c r="F47" i="28" s="1"/>
  <c r="F15" i="27"/>
  <c r="F40" i="27"/>
  <c r="M44" i="35"/>
  <c r="L38" i="35"/>
  <c r="M34" i="35"/>
  <c r="M38" i="35" s="1"/>
  <c r="K48" i="35"/>
  <c r="H15" i="27" l="1"/>
  <c r="H16" i="27" s="1"/>
  <c r="G15" i="27"/>
  <c r="G16" i="27" s="1"/>
  <c r="F43" i="28"/>
  <c r="F48" i="28" s="1"/>
  <c r="F51" i="28"/>
  <c r="G37" i="28"/>
  <c r="G51" i="28" s="1"/>
  <c r="J10" i="28"/>
  <c r="G40" i="27"/>
  <c r="M48" i="35"/>
  <c r="H40" i="27"/>
  <c r="K51" i="35"/>
  <c r="L51" i="35"/>
  <c r="M51" i="35"/>
  <c r="F16" i="27"/>
  <c r="E37" i="28"/>
  <c r="H41" i="28"/>
  <c r="E51" i="28" l="1"/>
  <c r="E47" i="28"/>
  <c r="E43" i="28"/>
  <c r="E48" i="28" l="1"/>
  <c r="J15" i="28"/>
  <c r="G41" i="28"/>
  <c r="J40" i="28"/>
  <c r="J35" i="16"/>
  <c r="E51" i="16"/>
  <c r="F51" i="16"/>
  <c r="G51" i="16"/>
  <c r="H51" i="16"/>
  <c r="D51" i="16"/>
  <c r="G47" i="28" l="1"/>
  <c r="H37" i="28"/>
  <c r="J16" i="28"/>
  <c r="G43" i="28"/>
  <c r="J41" i="28"/>
  <c r="J53" i="16"/>
  <c r="J40" i="16"/>
  <c r="J41" i="16"/>
  <c r="J42" i="16"/>
  <c r="J43" i="16"/>
  <c r="J44" i="16"/>
  <c r="J45" i="16"/>
  <c r="E12" i="16"/>
  <c r="F12" i="16"/>
  <c r="G12" i="16"/>
  <c r="J48" i="16"/>
  <c r="H56" i="16"/>
  <c r="H60" i="16" s="1"/>
  <c r="G56" i="16"/>
  <c r="G60" i="16" s="1"/>
  <c r="F56" i="16"/>
  <c r="F60" i="16" s="1"/>
  <c r="E56" i="16"/>
  <c r="E60" i="16" s="1"/>
  <c r="D56" i="16"/>
  <c r="H14" i="16" l="1"/>
  <c r="H15" i="16" s="1"/>
  <c r="H8" i="30" s="1"/>
  <c r="H64" i="16"/>
  <c r="G14" i="16"/>
  <c r="G15" i="16" s="1"/>
  <c r="G8" i="30" s="1"/>
  <c r="G64" i="16"/>
  <c r="F14" i="16"/>
  <c r="F15" i="16" s="1"/>
  <c r="F8" i="30" s="1"/>
  <c r="F64" i="16"/>
  <c r="E14" i="16"/>
  <c r="E15" i="16" s="1"/>
  <c r="E8" i="30" s="1"/>
  <c r="E64" i="16"/>
  <c r="H73" i="16"/>
  <c r="H7" i="30"/>
  <c r="G7" i="30"/>
  <c r="F7" i="30"/>
  <c r="E7" i="30"/>
  <c r="H51" i="28"/>
  <c r="H47" i="28"/>
  <c r="G48" i="28"/>
  <c r="H43" i="28"/>
  <c r="G61" i="16"/>
  <c r="H61" i="16"/>
  <c r="D60" i="16"/>
  <c r="J60" i="16" s="1"/>
  <c r="J51" i="16"/>
  <c r="J49" i="16"/>
  <c r="J52" i="16"/>
  <c r="J50" i="16"/>
  <c r="J47" i="16"/>
  <c r="F73" i="16" l="1"/>
  <c r="F61" i="16"/>
  <c r="E61" i="16"/>
  <c r="G73" i="16"/>
  <c r="G74" i="16" s="1"/>
  <c r="E73" i="16"/>
  <c r="H74" i="16"/>
  <c r="H48" i="28"/>
  <c r="J18" i="31"/>
  <c r="J19" i="31"/>
  <c r="J18" i="29"/>
  <c r="J19" i="29"/>
  <c r="J28" i="27"/>
  <c r="J55" i="16"/>
  <c r="E54" i="34"/>
  <c r="J54" i="34" s="1"/>
  <c r="F54" i="34"/>
  <c r="F56" i="34" s="1"/>
  <c r="J56" i="34" s="1"/>
  <c r="G54" i="34"/>
  <c r="H54" i="34"/>
  <c r="D54" i="34"/>
  <c r="J39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43" i="27"/>
  <c r="I47" i="27" s="1"/>
  <c r="H41" i="27"/>
  <c r="G41" i="27"/>
  <c r="F41" i="27"/>
  <c r="E41" i="27"/>
  <c r="H36" i="27"/>
  <c r="G36" i="27"/>
  <c r="F36" i="27"/>
  <c r="E36" i="27"/>
  <c r="D36" i="27"/>
  <c r="J35" i="27"/>
  <c r="J34" i="27"/>
  <c r="J33" i="27"/>
  <c r="J32" i="27"/>
  <c r="J31" i="27"/>
  <c r="J30" i="27"/>
  <c r="J34" i="16"/>
  <c r="E24" i="16"/>
  <c r="F24" i="16"/>
  <c r="G24" i="16"/>
  <c r="H24" i="16"/>
  <c r="D24" i="16"/>
  <c r="J31" i="16"/>
  <c r="J32" i="16"/>
  <c r="J33" i="16"/>
  <c r="E21" i="16"/>
  <c r="F21" i="16"/>
  <c r="G21" i="16"/>
  <c r="H21" i="16"/>
  <c r="D21" i="16"/>
  <c r="J56" i="16"/>
  <c r="E65" i="16"/>
  <c r="F65" i="16"/>
  <c r="G65" i="16"/>
  <c r="G70" i="16" s="1"/>
  <c r="H65" i="16"/>
  <c r="E74" i="16" l="1"/>
  <c r="H37" i="27"/>
  <c r="H13" i="30"/>
  <c r="H49" i="27"/>
  <c r="G37" i="27"/>
  <c r="G46" i="27" s="1"/>
  <c r="G13" i="30"/>
  <c r="G49" i="27"/>
  <c r="F74" i="16"/>
  <c r="H16" i="30"/>
  <c r="F16" i="30"/>
  <c r="E16" i="30"/>
  <c r="F70" i="16"/>
  <c r="H70" i="16"/>
  <c r="G16" i="30"/>
  <c r="E70" i="16"/>
  <c r="F37" i="27"/>
  <c r="F46" i="27" s="1"/>
  <c r="F13" i="30"/>
  <c r="F49" i="27"/>
  <c r="E37" i="27"/>
  <c r="E46" i="27" s="1"/>
  <c r="E13" i="30"/>
  <c r="E49" i="27"/>
  <c r="D13" i="30"/>
  <c r="J36" i="27"/>
  <c r="J21" i="16"/>
  <c r="J24" i="16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H67" i="16"/>
  <c r="J55" i="29"/>
  <c r="J49" i="29"/>
  <c r="E67" i="16"/>
  <c r="G67" i="16"/>
  <c r="G71" i="16" s="1"/>
  <c r="F67" i="16"/>
  <c r="F71" i="16" l="1"/>
  <c r="H50" i="27"/>
  <c r="H43" i="27"/>
  <c r="H46" i="27"/>
  <c r="G43" i="27"/>
  <c r="G47" i="27" s="1"/>
  <c r="G50" i="27"/>
  <c r="H71" i="16"/>
  <c r="E71" i="16"/>
  <c r="F43" i="27"/>
  <c r="F47" i="27" s="1"/>
  <c r="F50" i="27"/>
  <c r="E50" i="27"/>
  <c r="E43" i="27"/>
  <c r="E47" i="27" s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G14" i="30"/>
  <c r="G18" i="30" s="1"/>
  <c r="H14" i="30"/>
  <c r="H18" i="30" s="1"/>
  <c r="J13" i="30"/>
  <c r="J50" i="31"/>
  <c r="J57" i="31" s="1"/>
  <c r="J50" i="29"/>
  <c r="J57" i="29" s="1"/>
  <c r="D26" i="30" s="1"/>
  <c r="H47" i="27" l="1"/>
  <c r="J8" i="27" l="1"/>
  <c r="D12" i="16"/>
  <c r="J8" i="16"/>
  <c r="J12" i="16" s="1"/>
  <c r="J13" i="27" l="1"/>
  <c r="D14" i="16"/>
  <c r="J14" i="16" s="1"/>
  <c r="D64" i="16"/>
  <c r="D15" i="16"/>
  <c r="J15" i="16" s="1"/>
  <c r="D73" i="16"/>
  <c r="D13" i="27"/>
  <c r="J8" i="28"/>
  <c r="D61" i="16"/>
  <c r="D37" i="28"/>
  <c r="J64" i="16" l="1"/>
  <c r="J65" i="16" s="1"/>
  <c r="D65" i="16"/>
  <c r="J73" i="16"/>
  <c r="D74" i="16"/>
  <c r="D40" i="27"/>
  <c r="J40" i="27" s="1"/>
  <c r="D7" i="30"/>
  <c r="J7" i="30" s="1"/>
  <c r="D47" i="28"/>
  <c r="D51" i="28"/>
  <c r="J13" i="28"/>
  <c r="D15" i="27"/>
  <c r="D16" i="27" s="1"/>
  <c r="J61" i="16"/>
  <c r="D67" i="16"/>
  <c r="D43" i="28"/>
  <c r="J37" i="28"/>
  <c r="D41" i="27" l="1"/>
  <c r="D16" i="30" s="1"/>
  <c r="J78" i="16"/>
  <c r="D70" i="16"/>
  <c r="D71" i="16" s="1"/>
  <c r="J67" i="16"/>
  <c r="D23" i="30" s="1"/>
  <c r="J70" i="16"/>
  <c r="J74" i="16"/>
  <c r="D8" i="30"/>
  <c r="J8" i="30" s="1"/>
  <c r="D49" i="27"/>
  <c r="J43" i="28"/>
  <c r="D24" i="30" s="1"/>
  <c r="J47" i="28"/>
  <c r="J50" i="28"/>
  <c r="J51" i="28" s="1"/>
  <c r="D48" i="28"/>
  <c r="J15" i="27"/>
  <c r="J16" i="27"/>
  <c r="D37" i="27"/>
  <c r="J16" i="30" l="1"/>
  <c r="J41" i="27"/>
  <c r="J71" i="16"/>
  <c r="J48" i="28"/>
  <c r="J49" i="27"/>
  <c r="J54" i="27"/>
  <c r="J37" i="27"/>
  <c r="J43" i="27" s="1"/>
  <c r="D46" i="27"/>
  <c r="D43" i="27"/>
  <c r="D50" i="27"/>
  <c r="D14" i="30"/>
  <c r="D25" i="30" l="1"/>
  <c r="J55" i="27"/>
  <c r="D47" i="27"/>
  <c r="J46" i="27"/>
  <c r="J47" i="27" s="1"/>
  <c r="J50" i="27"/>
  <c r="D18" i="30"/>
  <c r="J14" i="30"/>
  <c r="J18" i="30" s="1"/>
  <c r="D29" i="30" l="1"/>
  <c r="E23" i="30" l="1"/>
  <c r="E24" i="30"/>
  <c r="E27" i="30"/>
  <c r="E26" i="30"/>
  <c r="E25" i="30"/>
  <c r="E29" i="3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tc={B84E5ED4-7438-4B01-A5E9-2FCD37E4DD07}</author>
  </authors>
  <commentList>
    <comment ref="D2" authorId="0" shapeId="0" xr:uid="{3EC372E9-0703-46DD-97A2-1EC9021CC187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HR as of 12/10/23</t>
        </r>
      </text>
    </comment>
    <comment ref="H3" authorId="1" shapeId="0" xr:uid="{B84E5ED4-7438-4B01-A5E9-2FCD37E4DD07}">
      <text>
        <t>[Threaded comment]
Your version of Excel allows you to read this threaded comment; however, any edits to it will get removed if the file is opened in a newer version of Excel. Learn more: https://go.microsoft.com/fwlink/?linkid=870924
Comment:
    Based on 0% raise projection for SFY25 that is usually effective 7/1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tc={BD6D38FD-DE9E-463C-9193-79614B92AF9A}</author>
    <author>tc={775DA1DD-3C84-46C3-A569-C5FEC058FC3A}</author>
  </authors>
  <commentList>
    <comment ref="C4" authorId="0" shapeId="0" xr:uid="{BD6D38FD-DE9E-463C-9193-79614B92AF9A}">
      <text>
        <t>[Threaded comment]
Your version of Excel allows you to read this threaded comment; however, any edits to it will get removed if the file is opened in a newer version of Excel. Learn more: https://go.microsoft.com/fwlink/?linkid=870924
Comment:
    $0.21 is state vehicle mileage rate</t>
      </text>
    </comment>
    <comment ref="C9" authorId="1" shapeId="0" xr:uid="{775DA1DD-3C84-46C3-A569-C5FEC058FC3A}">
      <text>
        <t>[Threaded comment]
Your version of Excel allows you to read this threaded comment; however, any edits to it will get removed if the file is opened in a newer version of Excel. Learn more: https://go.microsoft.com/fwlink/?linkid=870924
Comment:
    $0.21 is state vehicle mileage rate</t>
      </text>
    </comment>
  </commentList>
</comments>
</file>

<file path=xl/sharedStrings.xml><?xml version="1.0" encoding="utf-8"?>
<sst xmlns="http://schemas.openxmlformats.org/spreadsheetml/2006/main" count="621" uniqueCount="167">
  <si>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</si>
  <si>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</si>
  <si>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</si>
  <si>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</si>
  <si>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</si>
  <si>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</si>
  <si>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</si>
  <si>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</si>
  <si>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</si>
  <si>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</si>
  <si>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</si>
  <si>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</si>
  <si>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</si>
  <si>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</si>
  <si>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</si>
  <si>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</si>
  <si>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</si>
  <si>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</si>
  <si>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</si>
  <si>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</si>
  <si>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</si>
  <si>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</si>
  <si>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</si>
  <si>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</si>
  <si>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</si>
  <si>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</si>
  <si>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</si>
  <si>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</si>
  <si>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Fugitive Coal Mine Methane Capture &amp; Utilization</t>
  </si>
  <si>
    <t>Landfill Methane Capture &amp; Utilization</t>
  </si>
  <si>
    <t>Food Rescue and Composting</t>
  </si>
  <si>
    <t>Name 4</t>
  </si>
  <si>
    <t>Name 5</t>
  </si>
  <si>
    <t>Total</t>
  </si>
  <si>
    <t>Detailed Budget Table - Fugitive Coal Mine Methane Capture &amp; Utilization</t>
  </si>
  <si>
    <t xml:space="preserve">This Excel Workbook is provided to aid applicants in developing the required budget table(s) within the budget narrative.  </t>
  </si>
  <si>
    <t>Personnel</t>
  </si>
  <si>
    <t> </t>
  </si>
  <si>
    <t>P0719 - Air Quality Planning Manager</t>
  </si>
  <si>
    <t>P4498 - Senior Planner</t>
  </si>
  <si>
    <t>P4544 - Greenhouse Gas Inventory Specialist</t>
  </si>
  <si>
    <t>P4013 - Director, Air &amp; Renewable Energy Div.</t>
  </si>
  <si>
    <t xml:space="preserve"> Fringe Benefits </t>
  </si>
  <si>
    <t>47% of Personnel</t>
  </si>
  <si>
    <t xml:space="preserve"> Travel </t>
  </si>
  <si>
    <t>(Lodging @ avg $118/night, per diem for 1 day @ avg $46, Mileage @ $0.67/mi for 3 staff)
Site visits of coal mine methane capture projects at multiple southwest VA locations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</si>
  <si>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</si>
  <si>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</si>
  <si>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</si>
  <si>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</si>
  <si>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</si>
  <si>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Subaward VA Energy includes:</t>
  </si>
  <si>
    <t>Staff Costs:</t>
  </si>
  <si>
    <t>Senior Project Manager 10%</t>
  </si>
  <si>
    <t>Project Manager Associate 10%</t>
  </si>
  <si>
    <t>Financial Analyst 15%</t>
  </si>
  <si>
    <t>Grant Administrator 15%</t>
  </si>
  <si>
    <t>Grant Support Specialist 10%</t>
  </si>
  <si>
    <t>Grant Accountant 10%</t>
  </si>
  <si>
    <t>Monitoring &amp; Security (Gas &amp; Oil) 10%</t>
  </si>
  <si>
    <t>Fringe Rate budgeted 44% of Salaries:</t>
  </si>
  <si>
    <t>Senior Project Manager</t>
  </si>
  <si>
    <t>Project Manager Associate</t>
  </si>
  <si>
    <t>Financial Analyst</t>
  </si>
  <si>
    <t>Grant Administrator</t>
  </si>
  <si>
    <t xml:space="preserve">Grant Support Specialist </t>
  </si>
  <si>
    <t>Grant Accountant</t>
  </si>
  <si>
    <t>Monitoring &amp; Security (Gas &amp; Oil)</t>
  </si>
  <si>
    <t>Travel:</t>
  </si>
  <si>
    <t>Qtrly Travel for meetings: 4 employees- multiple locations: GSA rates</t>
  </si>
  <si>
    <t>Annual Travel for National meeting: 3 employees - site TBD: GSA rates</t>
  </si>
  <si>
    <t>Contractual</t>
  </si>
  <si>
    <t>Approved Indirect rate by DOI 35.2% for FY 2025 (This rate is recalculated &amp; approved by DOI annually)</t>
  </si>
  <si>
    <t>Indirect Costs</t>
  </si>
  <si>
    <t>38.5% of Personnel (DEQ's negotiated indirect cost rate agreement with US EPA effective 7/1/24-6/30/25)</t>
  </si>
  <si>
    <t>Detailed Budget Table - Landfill Methane Capture &amp; Utilization</t>
  </si>
  <si>
    <t>Vacant - Restricted FTE position for a Program Specialist to support program implementation</t>
  </si>
  <si>
    <t>(Lodging @ avg $118/night, per diem for 1 day @ avg $46, Mileage @ $0.67/mi for 3 staff)
Site visits to up to 3 LMOP landfill project sites</t>
  </si>
  <si>
    <t>1-3 competitive multi-year grants</t>
  </si>
  <si>
    <t>Detailed Budget Table - Food Rescue and Composting</t>
  </si>
  <si>
    <t>Vacant - Restricted FTE position for a Food Waste Specialist to support program implementation</t>
  </si>
  <si>
    <t>Site visits and outreach to universities, colleges, and state agencies (e.g. workshops to educate stakeholders on rules for excess food donation; enhancements to DEQ's website to provide resources on food donation requirements, organizations that accept food donations, and successful food donation strategies in Virginia and the United States)</t>
  </si>
  <si>
    <t>Materials promoting program (e.g. workshops, web resources, signage for outreach materials, and excess food tracking sheets)</t>
  </si>
  <si>
    <t>Coordination with other state agencies that have roles in overseeing food handling safety such as VDACS and VDH</t>
  </si>
  <si>
    <t>15-20 competitive 3-year grants</t>
  </si>
  <si>
    <t>Salary Standards</t>
  </si>
  <si>
    <t xml:space="preserve"> Year 1: SFY25 (7/1/24 - 6/30/25)</t>
  </si>
  <si>
    <t>Fringe</t>
  </si>
  <si>
    <t>Wage Fringe</t>
  </si>
  <si>
    <t>Indirect</t>
  </si>
  <si>
    <t>Name</t>
  </si>
  <si>
    <t>Title</t>
  </si>
  <si>
    <t>Position #</t>
  </si>
  <si>
    <t>Current Hourly Rate</t>
  </si>
  <si>
    <t>Annual Salary (*2080 hrs)</t>
  </si>
  <si>
    <t>Annual Salary w/ addtl 3% Increase</t>
  </si>
  <si>
    <t>% Charged to the Grant</t>
  </si>
  <si>
    <t xml:space="preserve"> Personnel Cost</t>
  </si>
  <si>
    <t>Tom Ballou</t>
  </si>
  <si>
    <t>Air Quality Planning Manager</t>
  </si>
  <si>
    <t>P0719</t>
  </si>
  <si>
    <t>Angela Conroy</t>
  </si>
  <si>
    <t>Senior Planner</t>
  </si>
  <si>
    <t>P4498</t>
  </si>
  <si>
    <t>Ava Lovain</t>
  </si>
  <si>
    <t>Greenhouse Gas Inventory Specialist</t>
  </si>
  <si>
    <t>P4544</t>
  </si>
  <si>
    <t>Mike Dowd</t>
  </si>
  <si>
    <t>Director, Air &amp; Renewable Energy Div.</t>
  </si>
  <si>
    <t>P4013</t>
  </si>
  <si>
    <t>Year 2: SFY26 (7/1/25 - 6/30/26)</t>
  </si>
  <si>
    <t>Year 3: SFY27 (7/1/26 - 6/30/27)</t>
  </si>
  <si>
    <t>Annual Salary w/ addtl 0% Increase</t>
  </si>
  <si>
    <t>Year 4: SFY28 (7/1/27 - 6/30/28)</t>
  </si>
  <si>
    <t>Year 5: SFY29 (7/1/28 - 6/30/29)</t>
  </si>
  <si>
    <t>Total Years 1 - 5</t>
  </si>
  <si>
    <t>Purpose of Travel</t>
  </si>
  <si>
    <t>Location</t>
  </si>
  <si>
    <t>Travel Expense</t>
  </si>
  <si>
    <t>Cost</t>
  </si>
  <si>
    <t># of days/nights or # Miles</t>
  </si>
  <si>
    <t># Staff</t>
  </si>
  <si>
    <t>Site visits of methane capture projects at multiple southwest VA locations</t>
  </si>
  <si>
    <t>Abingdon, VA</t>
  </si>
  <si>
    <t>Lodging @ $107/night</t>
  </si>
  <si>
    <t>Meals 1 day @ $44</t>
  </si>
  <si>
    <t>Mileage @ $0.67/mi</t>
  </si>
  <si>
    <t>Total Travel</t>
  </si>
  <si>
    <t>Other TBD</t>
  </si>
  <si>
    <t>Lodging @ $130/night</t>
  </si>
  <si>
    <t>Meals 1 day @ $48</t>
  </si>
  <si>
    <t>Annual Travel Total</t>
  </si>
  <si>
    <t>Detailed Budget Table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</si>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</sst>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%"/>
    <numFmt numFmtId="166" formatCode="_(* #,##0_);_(* \(#,##0\);_(* &quot;-&quot;??_);_(@_)"/>
    <numFmt numFmtId="167" formatCode="&quot;$&quot;#,##0"/>
    <numFmt numFmtId="168" formatCode="&quot;$&quot;#,##0.00"/>
  </numFmts>
  <fonts count="3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name val="Arial"/>
      <family val="2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8"/>
      <color rgb="FF000000"/>
      <name val="Calibri"/>
    </font>
    <font>
      <b/>
      <sz val="18"/>
      <name val="Calibri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4" fillId="0" borderId="0"/>
  </cellStyleXfs>
  <cellXfs count="213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2" fillId="0" borderId="2" xfId="0" applyFont="1" applyBorder="1" applyAlignment="1">
      <alignment vertical="top" wrapText="1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vertical="top"/>
    </xf>
    <xf numFmtId="164" fontId="20" fillId="0" borderId="0" xfId="1" applyNumberFormat="1" applyFont="1" applyBorder="1"/>
    <xf numFmtId="0" fontId="21" fillId="5" borderId="8" xfId="0" applyFont="1" applyFill="1" applyBorder="1"/>
    <xf numFmtId="0" fontId="22" fillId="5" borderId="7" xfId="0" applyFont="1" applyFill="1" applyBorder="1" applyAlignment="1">
      <alignment wrapText="1"/>
    </xf>
    <xf numFmtId="0" fontId="22" fillId="5" borderId="6" xfId="0" applyFont="1" applyFill="1" applyBorder="1" applyAlignment="1">
      <alignment wrapText="1"/>
    </xf>
    <xf numFmtId="0" fontId="22" fillId="6" borderId="13" xfId="0" applyFont="1" applyFill="1" applyBorder="1" applyAlignment="1">
      <alignment wrapText="1"/>
    </xf>
    <xf numFmtId="0" fontId="22" fillId="6" borderId="14" xfId="0" applyFont="1" applyFill="1" applyBorder="1" applyAlignment="1">
      <alignment wrapText="1"/>
    </xf>
    <xf numFmtId="0" fontId="22" fillId="6" borderId="15" xfId="0" applyFont="1" applyFill="1" applyBorder="1" applyAlignment="1">
      <alignment wrapText="1"/>
    </xf>
    <xf numFmtId="0" fontId="22" fillId="6" borderId="7" xfId="0" applyFont="1" applyFill="1" applyBorder="1" applyAlignment="1">
      <alignment wrapText="1"/>
    </xf>
    <xf numFmtId="0" fontId="22" fillId="6" borderId="3" xfId="0" applyFont="1" applyFill="1" applyBorder="1"/>
    <xf numFmtId="0" fontId="22" fillId="0" borderId="2" xfId="0" applyFont="1" applyBorder="1" applyAlignment="1">
      <alignment vertical="top" wrapText="1"/>
    </xf>
    <xf numFmtId="0" fontId="22" fillId="0" borderId="1" xfId="0" applyFont="1" applyBorder="1" applyAlignment="1">
      <alignment vertical="top"/>
    </xf>
    <xf numFmtId="0" fontId="20" fillId="0" borderId="1" xfId="0" applyFont="1" applyBorder="1" applyAlignment="1">
      <alignment wrapText="1"/>
    </xf>
    <xf numFmtId="0" fontId="20" fillId="0" borderId="1" xfId="0" applyFont="1" applyBorder="1"/>
    <xf numFmtId="0" fontId="20" fillId="0" borderId="5" xfId="0" applyFont="1" applyBorder="1" applyAlignment="1">
      <alignment vertical="top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20" fillId="0" borderId="1" xfId="0" applyNumberFormat="1" applyFont="1" applyBorder="1" applyAlignment="1">
      <alignment wrapText="1"/>
    </xf>
    <xf numFmtId="0" fontId="20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 indent="4"/>
    </xf>
    <xf numFmtId="6" fontId="20" fillId="0" borderId="0" xfId="0" applyNumberFormat="1" applyFont="1"/>
    <xf numFmtId="0" fontId="20" fillId="0" borderId="3" xfId="0" applyFont="1" applyBorder="1" applyAlignment="1">
      <alignment vertical="top"/>
    </xf>
    <xf numFmtId="0" fontId="22" fillId="0" borderId="1" xfId="0" applyFont="1" applyBorder="1"/>
    <xf numFmtId="0" fontId="22" fillId="0" borderId="11" xfId="0" applyFont="1" applyBorder="1" applyAlignment="1">
      <alignment wrapText="1"/>
    </xf>
    <xf numFmtId="6" fontId="23" fillId="0" borderId="12" xfId="0" applyNumberFormat="1" applyFont="1" applyBorder="1" applyAlignment="1">
      <alignment wrapText="1"/>
    </xf>
    <xf numFmtId="0" fontId="22" fillId="0" borderId="0" xfId="0" applyFont="1"/>
    <xf numFmtId="0" fontId="3" fillId="0" borderId="8" xfId="0" applyFont="1" applyBorder="1" applyAlignment="1">
      <alignment horizontal="left" wrapText="1" indent="2"/>
    </xf>
    <xf numFmtId="0" fontId="20" fillId="0" borderId="1" xfId="0" applyFont="1" applyBorder="1" applyAlignment="1">
      <alignment vertical="top"/>
    </xf>
    <xf numFmtId="0" fontId="22" fillId="0" borderId="0" xfId="0" applyFont="1" applyAlignment="1">
      <alignment vertical="center"/>
    </xf>
    <xf numFmtId="0" fontId="25" fillId="0" borderId="22" xfId="4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25" fillId="0" borderId="23" xfId="4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6" fillId="0" borderId="1" xfId="4" applyFont="1" applyBorder="1" applyAlignment="1">
      <alignment horizontal="center" vertical="center"/>
    </xf>
    <xf numFmtId="0" fontId="26" fillId="0" borderId="1" xfId="4" applyFont="1" applyBorder="1" applyAlignment="1">
      <alignment horizontal="center" vertical="center" wrapText="1"/>
    </xf>
    <xf numFmtId="0" fontId="26" fillId="0" borderId="0" xfId="4" applyFont="1" applyAlignment="1">
      <alignment horizontal="center" vertical="center" wrapText="1"/>
    </xf>
    <xf numFmtId="43" fontId="26" fillId="0" borderId="1" xfId="3" applyFont="1" applyFill="1" applyBorder="1" applyAlignment="1">
      <alignment horizontal="center" vertical="center" wrapText="1"/>
    </xf>
    <xf numFmtId="9" fontId="20" fillId="0" borderId="24" xfId="0" applyNumberFormat="1" applyFont="1" applyBorder="1" applyAlignment="1">
      <alignment horizontal="center" vertical="center"/>
    </xf>
    <xf numFmtId="10" fontId="20" fillId="0" borderId="25" xfId="0" applyNumberFormat="1" applyFont="1" applyBorder="1" applyAlignment="1">
      <alignment horizontal="center" vertical="center"/>
    </xf>
    <xf numFmtId="165" fontId="20" fillId="0" borderId="25" xfId="0" applyNumberFormat="1" applyFont="1" applyBorder="1" applyAlignment="1">
      <alignment horizontal="center" vertical="center"/>
    </xf>
    <xf numFmtId="9" fontId="26" fillId="0" borderId="1" xfId="2" applyFont="1" applyFill="1" applyBorder="1" applyAlignment="1">
      <alignment horizontal="center" vertical="center" wrapText="1"/>
    </xf>
    <xf numFmtId="165" fontId="26" fillId="9" borderId="1" xfId="4" applyNumberFormat="1" applyFont="1" applyFill="1" applyBorder="1" applyAlignment="1">
      <alignment horizontal="center" vertical="center" wrapText="1"/>
    </xf>
    <xf numFmtId="9" fontId="26" fillId="0" borderId="1" xfId="3" applyNumberFormat="1" applyFont="1" applyFill="1" applyBorder="1" applyAlignment="1">
      <alignment horizontal="center" vertical="center" wrapText="1"/>
    </xf>
    <xf numFmtId="165" fontId="26" fillId="0" borderId="1" xfId="4" applyNumberFormat="1" applyFont="1" applyBorder="1" applyAlignment="1">
      <alignment horizontal="center" vertical="center" wrapText="1"/>
    </xf>
    <xf numFmtId="0" fontId="0" fillId="9" borderId="1" xfId="0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2" fontId="20" fillId="0" borderId="1" xfId="4" applyNumberFormat="1" applyFont="1" applyBorder="1" applyAlignment="1">
      <alignment horizontal="center" vertical="center"/>
    </xf>
    <xf numFmtId="164" fontId="20" fillId="0" borderId="1" xfId="1" applyNumberFormat="1" applyFont="1" applyFill="1" applyBorder="1" applyAlignment="1">
      <alignment vertical="center"/>
    </xf>
    <xf numFmtId="166" fontId="20" fillId="0" borderId="0" xfId="3" applyNumberFormat="1" applyFont="1" applyFill="1" applyBorder="1" applyAlignment="1">
      <alignment horizontal="center" vertical="center"/>
    </xf>
    <xf numFmtId="166" fontId="20" fillId="0" borderId="1" xfId="3" applyNumberFormat="1" applyFont="1" applyFill="1" applyBorder="1" applyAlignment="1">
      <alignment horizontal="center" wrapText="1"/>
    </xf>
    <xf numFmtId="9" fontId="20" fillId="0" borderId="1" xfId="2" applyFont="1" applyFill="1" applyBorder="1" applyAlignment="1">
      <alignment horizontal="center" vertical="center"/>
    </xf>
    <xf numFmtId="166" fontId="20" fillId="0" borderId="1" xfId="3" applyNumberFormat="1" applyFont="1" applyFill="1" applyBorder="1" applyAlignment="1">
      <alignment horizontal="center" vertical="center"/>
    </xf>
    <xf numFmtId="166" fontId="0" fillId="0" borderId="1" xfId="0" applyNumberFormat="1" applyBorder="1"/>
    <xf numFmtId="0" fontId="20" fillId="0" borderId="1" xfId="0" applyFont="1" applyBorder="1" applyAlignment="1">
      <alignment horizontal="center"/>
    </xf>
    <xf numFmtId="166" fontId="22" fillId="0" borderId="0" xfId="3" applyNumberFormat="1" applyFont="1" applyFill="1" applyBorder="1" applyAlignment="1">
      <alignment horizontal="right" wrapText="1"/>
    </xf>
    <xf numFmtId="166" fontId="22" fillId="0" borderId="1" xfId="3" applyNumberFormat="1" applyFont="1" applyFill="1" applyBorder="1" applyAlignment="1">
      <alignment horizontal="right" wrapText="1"/>
    </xf>
    <xf numFmtId="2" fontId="22" fillId="0" borderId="1" xfId="3" applyNumberFormat="1" applyFont="1" applyFill="1" applyBorder="1" applyAlignment="1">
      <alignment horizontal="center" vertical="center"/>
    </xf>
    <xf numFmtId="164" fontId="22" fillId="0" borderId="1" xfId="3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3" fontId="26" fillId="0" borderId="0" xfId="3" applyFont="1" applyFill="1" applyBorder="1" applyAlignment="1">
      <alignment horizontal="center" vertical="center" wrapText="1"/>
    </xf>
    <xf numFmtId="164" fontId="22" fillId="0" borderId="0" xfId="3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29" fillId="0" borderId="6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9" fillId="0" borderId="1" xfId="0" applyFont="1" applyBorder="1"/>
    <xf numFmtId="0" fontId="30" fillId="0" borderId="1" xfId="0" applyFont="1" applyBorder="1"/>
    <xf numFmtId="164" fontId="30" fillId="0" borderId="1" xfId="1" applyNumberFormat="1" applyFont="1" applyFill="1" applyBorder="1"/>
    <xf numFmtId="0" fontId="30" fillId="0" borderId="1" xfId="0" applyFont="1" applyBorder="1" applyAlignment="1">
      <alignment horizontal="center"/>
    </xf>
    <xf numFmtId="164" fontId="30" fillId="0" borderId="1" xfId="1" applyNumberFormat="1" applyFont="1" applyBorder="1"/>
    <xf numFmtId="0" fontId="30" fillId="0" borderId="3" xfId="0" applyFont="1" applyBorder="1" applyAlignment="1">
      <alignment vertical="center" wrapText="1"/>
    </xf>
    <xf numFmtId="44" fontId="30" fillId="0" borderId="1" xfId="1" applyFont="1" applyFill="1" applyBorder="1"/>
    <xf numFmtId="164" fontId="29" fillId="0" borderId="1" xfId="1" applyNumberFormat="1" applyFont="1" applyBorder="1"/>
    <xf numFmtId="44" fontId="0" fillId="0" borderId="0" xfId="0" applyNumberFormat="1"/>
    <xf numFmtId="164" fontId="2" fillId="0" borderId="0" xfId="0" applyNumberFormat="1" applyFont="1"/>
    <xf numFmtId="0" fontId="21" fillId="2" borderId="8" xfId="0" applyFont="1" applyFill="1" applyBorder="1"/>
    <xf numFmtId="0" fontId="22" fillId="2" borderId="7" xfId="0" applyFont="1" applyFill="1" applyBorder="1" applyAlignment="1">
      <alignment wrapText="1"/>
    </xf>
    <xf numFmtId="0" fontId="22" fillId="2" borderId="1" xfId="0" applyFont="1" applyFill="1" applyBorder="1" applyAlignment="1">
      <alignment wrapText="1"/>
    </xf>
    <xf numFmtId="0" fontId="22" fillId="3" borderId="13" xfId="0" applyFont="1" applyFill="1" applyBorder="1" applyAlignment="1">
      <alignment wrapText="1"/>
    </xf>
    <xf numFmtId="0" fontId="22" fillId="3" borderId="14" xfId="0" applyFont="1" applyFill="1" applyBorder="1" applyAlignment="1">
      <alignment wrapText="1"/>
    </xf>
    <xf numFmtId="0" fontId="22" fillId="3" borderId="15" xfId="0" applyFont="1" applyFill="1" applyBorder="1" applyAlignment="1">
      <alignment wrapText="1"/>
    </xf>
    <xf numFmtId="0" fontId="22" fillId="3" borderId="7" xfId="0" applyFont="1" applyFill="1" applyBorder="1" applyAlignment="1">
      <alignment wrapText="1"/>
    </xf>
    <xf numFmtId="0" fontId="22" fillId="3" borderId="1" xfId="0" applyFont="1" applyFill="1" applyBorder="1"/>
    <xf numFmtId="0" fontId="22" fillId="0" borderId="2" xfId="0" applyFont="1" applyBorder="1" applyAlignment="1">
      <alignment vertical="top"/>
    </xf>
    <xf numFmtId="0" fontId="20" fillId="7" borderId="1" xfId="0" applyFont="1" applyFill="1" applyBorder="1" applyAlignment="1">
      <alignment wrapText="1"/>
    </xf>
    <xf numFmtId="6" fontId="18" fillId="7" borderId="1" xfId="0" applyNumberFormat="1" applyFont="1" applyFill="1" applyBorder="1" applyAlignment="1">
      <alignment wrapText="1"/>
    </xf>
    <xf numFmtId="0" fontId="22" fillId="0" borderId="21" xfId="0" applyFont="1" applyBorder="1" applyAlignment="1">
      <alignment wrapText="1"/>
    </xf>
    <xf numFmtId="0" fontId="22" fillId="3" borderId="20" xfId="0" applyFont="1" applyFill="1" applyBorder="1" applyAlignment="1">
      <alignment wrapText="1"/>
    </xf>
    <xf numFmtId="6" fontId="18" fillId="7" borderId="8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left" wrapText="1" indent="2"/>
    </xf>
    <xf numFmtId="167" fontId="0" fillId="0" borderId="1" xfId="0" applyNumberFormat="1" applyBorder="1" applyAlignment="1">
      <alignment wrapText="1"/>
    </xf>
    <xf numFmtId="0" fontId="31" fillId="0" borderId="0" xfId="0" applyFont="1"/>
    <xf numFmtId="164" fontId="31" fillId="0" borderId="0" xfId="0" applyNumberFormat="1" applyFont="1"/>
    <xf numFmtId="167" fontId="18" fillId="7" borderId="1" xfId="0" applyNumberFormat="1" applyFont="1" applyFill="1" applyBorder="1" applyAlignment="1">
      <alignment wrapText="1"/>
    </xf>
    <xf numFmtId="167" fontId="20" fillId="8" borderId="0" xfId="0" applyNumberFormat="1" applyFont="1" applyFill="1"/>
    <xf numFmtId="167" fontId="18" fillId="4" borderId="1" xfId="0" applyNumberFormat="1" applyFont="1" applyFill="1" applyBorder="1" applyAlignment="1">
      <alignment wrapText="1"/>
    </xf>
    <xf numFmtId="167" fontId="20" fillId="0" borderId="0" xfId="0" applyNumberFormat="1" applyFont="1"/>
    <xf numFmtId="167" fontId="20" fillId="0" borderId="1" xfId="0" applyNumberFormat="1" applyFont="1" applyBorder="1"/>
    <xf numFmtId="167" fontId="20" fillId="4" borderId="1" xfId="0" applyNumberFormat="1" applyFont="1" applyFill="1" applyBorder="1" applyAlignment="1">
      <alignment wrapText="1"/>
    </xf>
    <xf numFmtId="167" fontId="22" fillId="0" borderId="19" xfId="0" applyNumberFormat="1" applyFont="1" applyBorder="1" applyAlignment="1">
      <alignment wrapText="1"/>
    </xf>
    <xf numFmtId="167" fontId="22" fillId="0" borderId="0" xfId="0" applyNumberFormat="1" applyFont="1"/>
    <xf numFmtId="167" fontId="22" fillId="0" borderId="1" xfId="0" applyNumberFormat="1" applyFont="1" applyBorder="1" applyAlignment="1">
      <alignment wrapText="1"/>
    </xf>
    <xf numFmtId="167" fontId="20" fillId="0" borderId="1" xfId="0" applyNumberFormat="1" applyFont="1" applyBorder="1" applyAlignment="1">
      <alignment vertical="top"/>
    </xf>
    <xf numFmtId="167" fontId="20" fillId="0" borderId="1" xfId="1" applyNumberFormat="1" applyFont="1" applyBorder="1"/>
    <xf numFmtId="167" fontId="18" fillId="0" borderId="1" xfId="0" applyNumberFormat="1" applyFont="1" applyBorder="1" applyAlignment="1">
      <alignment wrapText="1"/>
    </xf>
    <xf numFmtId="167" fontId="20" fillId="0" borderId="1" xfId="0" applyNumberFormat="1" applyFont="1" applyBorder="1" applyAlignment="1">
      <alignment wrapText="1"/>
    </xf>
    <xf numFmtId="167" fontId="18" fillId="4" borderId="4" xfId="0" applyNumberFormat="1" applyFont="1" applyFill="1" applyBorder="1" applyAlignment="1">
      <alignment wrapText="1"/>
    </xf>
    <xf numFmtId="167" fontId="23" fillId="0" borderId="12" xfId="0" applyNumberFormat="1" applyFont="1" applyBorder="1" applyAlignment="1">
      <alignment wrapText="1"/>
    </xf>
    <xf numFmtId="0" fontId="0" fillId="10" borderId="0" xfId="0" applyFill="1"/>
    <xf numFmtId="164" fontId="0" fillId="0" borderId="0" xfId="0" applyNumberFormat="1"/>
    <xf numFmtId="8" fontId="20" fillId="0" borderId="0" xfId="0" applyNumberFormat="1" applyFont="1"/>
    <xf numFmtId="167" fontId="20" fillId="0" borderId="0" xfId="0" applyNumberFormat="1" applyFont="1" applyAlignment="1">
      <alignment vertical="top"/>
    </xf>
    <xf numFmtId="168" fontId="20" fillId="0" borderId="0" xfId="0" applyNumberFormat="1" applyFont="1"/>
    <xf numFmtId="6" fontId="20" fillId="0" borderId="0" xfId="0" applyNumberFormat="1" applyFont="1" applyAlignment="1">
      <alignment vertical="top"/>
    </xf>
    <xf numFmtId="168" fontId="18" fillId="0" borderId="1" xfId="0" applyNumberFormat="1" applyFont="1" applyBorder="1" applyAlignment="1">
      <alignment wrapText="1"/>
    </xf>
    <xf numFmtId="168" fontId="20" fillId="0" borderId="1" xfId="0" applyNumberFormat="1" applyFont="1" applyBorder="1" applyAlignment="1">
      <alignment wrapText="1"/>
    </xf>
    <xf numFmtId="167" fontId="31" fillId="0" borderId="0" xfId="0" applyNumberFormat="1" applyFont="1"/>
    <xf numFmtId="6" fontId="31" fillId="0" borderId="0" xfId="0" applyNumberFormat="1" applyFont="1"/>
    <xf numFmtId="6" fontId="18" fillId="0" borderId="8" xfId="0" applyNumberFormat="1" applyFont="1" applyBorder="1" applyAlignment="1">
      <alignment wrapText="1"/>
    </xf>
    <xf numFmtId="0" fontId="31" fillId="0" borderId="0" xfId="0" applyFont="1" applyAlignment="1">
      <alignment horizontal="center"/>
    </xf>
    <xf numFmtId="0" fontId="32" fillId="0" borderId="0" xfId="0" applyFont="1"/>
    <xf numFmtId="8" fontId="31" fillId="0" borderId="0" xfId="0" applyNumberFormat="1" applyFont="1" applyAlignment="1">
      <alignment horizontal="center"/>
    </xf>
    <xf numFmtId="167" fontId="31" fillId="0" borderId="0" xfId="0" applyNumberFormat="1" applyFont="1" applyAlignment="1">
      <alignment horizontal="center"/>
    </xf>
    <xf numFmtId="0" fontId="18" fillId="8" borderId="1" xfId="0" applyFont="1" applyFill="1" applyBorder="1" applyAlignment="1">
      <alignment horizontal="left" wrapText="1" indent="2"/>
    </xf>
    <xf numFmtId="167" fontId="20" fillId="8" borderId="1" xfId="0" applyNumberFormat="1" applyFont="1" applyFill="1" applyBorder="1" applyAlignment="1">
      <alignment vertical="top"/>
    </xf>
    <xf numFmtId="167" fontId="20" fillId="8" borderId="1" xfId="0" applyNumberFormat="1" applyFont="1" applyFill="1" applyBorder="1" applyAlignment="1">
      <alignment wrapText="1"/>
    </xf>
    <xf numFmtId="164" fontId="20" fillId="0" borderId="0" xfId="1" applyNumberFormat="1" applyFont="1" applyBorder="1" applyAlignment="1"/>
    <xf numFmtId="49" fontId="18" fillId="0" borderId="1" xfId="0" applyNumberFormat="1" applyFont="1" applyBorder="1" applyAlignment="1">
      <alignment horizontal="left" wrapText="1" indent="2"/>
    </xf>
    <xf numFmtId="6" fontId="18" fillId="0" borderId="1" xfId="0" applyNumberFormat="1" applyFont="1" applyBorder="1" applyAlignment="1">
      <alignment horizontal="left" vertical="top" wrapText="1"/>
    </xf>
    <xf numFmtId="6" fontId="8" fillId="0" borderId="1" xfId="0" applyNumberFormat="1" applyFont="1" applyBorder="1" applyAlignment="1">
      <alignment horizontal="right" vertical="center"/>
    </xf>
    <xf numFmtId="167" fontId="0" fillId="0" borderId="0" xfId="0" applyNumberFormat="1"/>
    <xf numFmtId="0" fontId="18" fillId="0" borderId="0" xfId="0" applyFont="1" applyAlignment="1">
      <alignment wrapText="1"/>
    </xf>
    <xf numFmtId="9" fontId="18" fillId="11" borderId="1" xfId="2" applyFont="1" applyFill="1" applyBorder="1" applyAlignment="1">
      <alignment horizontal="center" wrapText="1"/>
    </xf>
    <xf numFmtId="9" fontId="18" fillId="0" borderId="1" xfId="2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center" wrapText="1"/>
    </xf>
    <xf numFmtId="0" fontId="22" fillId="3" borderId="1" xfId="0" applyFont="1" applyFill="1" applyBorder="1" applyAlignment="1">
      <alignment horizontal="center" wrapText="1"/>
    </xf>
    <xf numFmtId="9" fontId="18" fillId="8" borderId="1" xfId="2" applyFont="1" applyFill="1" applyBorder="1" applyAlignment="1">
      <alignment horizontal="center" wrapText="1"/>
    </xf>
    <xf numFmtId="9" fontId="18" fillId="8" borderId="8" xfId="2" applyFont="1" applyFill="1" applyBorder="1" applyAlignment="1">
      <alignment horizontal="center" wrapText="1"/>
    </xf>
    <xf numFmtId="9" fontId="18" fillId="8" borderId="6" xfId="2" applyFont="1" applyFill="1" applyBorder="1" applyAlignment="1">
      <alignment horizontal="center" wrapText="1"/>
    </xf>
    <xf numFmtId="0" fontId="19" fillId="0" borderId="0" xfId="0" applyFont="1"/>
    <xf numFmtId="0" fontId="18" fillId="0" borderId="0" xfId="0" applyFont="1"/>
    <xf numFmtId="0" fontId="33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2" fillId="0" borderId="8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29" fillId="0" borderId="8" xfId="0" applyFont="1" applyBorder="1" applyAlignment="1">
      <alignment horizontal="left"/>
    </xf>
    <xf numFmtId="0" fontId="29" fillId="0" borderId="7" xfId="0" applyFont="1" applyBorder="1" applyAlignment="1">
      <alignment horizontal="left"/>
    </xf>
    <xf numFmtId="0" fontId="29" fillId="0" borderId="6" xfId="0" applyFont="1" applyBorder="1" applyAlignment="1">
      <alignment horizontal="left"/>
    </xf>
  </cellXfs>
  <cellStyles count="5">
    <cellStyle name="Comma" xfId="3" builtinId="3"/>
    <cellStyle name="Currency" xfId="1" builtinId="4"/>
    <cellStyle name="Normal" xfId="0" builtinId="0"/>
    <cellStyle name="Normal 2" xfId="4" xr:uid="{3FFFD325-2C57-4CA1-B1BC-3DBABB19E76A}"/>
    <cellStyle name="Percent" xfId="2" builtinId="5"/>
  </cellStyles>
  <dxfs count="1">
    <dxf>
      <font>
        <b/>
        <i val="0"/>
        <color rgb="FF00B05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FFCC"/>
      <color rgb="FF66FFFF"/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3" dT="2024-03-11T20:06:52.98" personId="{00000000-0000-0000-0000-000000000000}" id="{B84E5ED4-7438-4B01-A5E9-2FCD37E4DD07}">
    <text>Based on 0% raise projection for SFY25 that is usually effective 7/1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4" dT="2024-03-13T12:36:10.15" personId="{00000000-0000-0000-0000-000000000000}" id="{BD6D38FD-DE9E-463C-9193-79614B92AF9A}">
    <text>$0.21 is state vehicle mileage rate</text>
  </threadedComment>
  <threadedComment ref="C9" dT="2024-03-13T12:36:10.15" personId="{00000000-0000-0000-0000-000000000000}" id="{775DA1DD-3C84-46C3-A569-C5FEC058FC3A}">
    <text>$0.21 is state vehicle mileage rate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9" zoomScale="90" zoomScaleNormal="90" workbookViewId="0">
      <selection activeCell="F58" sqref="F58"/>
    </sheetView>
  </sheetViews>
  <sheetFormatPr defaultRowHeight="15" x14ac:dyDescent="0.25"/>
  <cols>
    <col min="1" max="1" width="1.7109375" customWidth="1"/>
    <col min="5" max="5" width="13.42578125" bestFit="1" customWidth="1"/>
    <col min="6" max="6" width="14.42578125" bestFit="1" customWidth="1"/>
    <col min="7" max="9" width="14.42578125" customWidth="1"/>
    <col min="10" max="10" width="10.71093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48"/>
      <c r="R28" s="4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14" zoomScale="85" zoomScaleNormal="85" workbookViewId="0">
      <selection activeCell="L48" sqref="L48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28515625" customWidth="1"/>
  </cols>
  <sheetData>
    <row r="2" spans="2:39" ht="23.25" x14ac:dyDescent="0.35">
      <c r="B2" s="30" t="s">
        <v>132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135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136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42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 t="s">
        <v>137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44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9" t="s">
        <v>138</v>
      </c>
      <c r="D18" s="15" t="s">
        <v>47</v>
      </c>
      <c r="E18" s="11" t="s">
        <v>47</v>
      </c>
      <c r="F18" s="11" t="s">
        <v>47</v>
      </c>
      <c r="G18" s="11"/>
      <c r="H18" s="11"/>
      <c r="J18" s="15"/>
    </row>
    <row r="19" spans="2:10" x14ac:dyDescent="0.25">
      <c r="B19" s="23"/>
      <c r="C19" s="29" t="s">
        <v>139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140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141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142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143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144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145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46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146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47</v>
      </c>
      <c r="C29" s="28" t="s">
        <v>47</v>
      </c>
      <c r="D29" s="13" t="s">
        <v>37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48</v>
      </c>
      <c r="D31" s="13" t="s">
        <v>37</v>
      </c>
      <c r="E31" s="10"/>
      <c r="F31" s="10"/>
      <c r="G31" s="10"/>
      <c r="H31" s="10"/>
      <c r="J31" s="15"/>
    </row>
    <row r="32" spans="2:10" x14ac:dyDescent="0.25">
      <c r="B32" s="23"/>
      <c r="C32" s="25" t="s">
        <v>147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49</v>
      </c>
      <c r="D35" s="13" t="s">
        <v>37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148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149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150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50</v>
      </c>
      <c r="D41" s="13" t="s">
        <v>37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151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152</v>
      </c>
      <c r="D43" s="15">
        <v>10000000</v>
      </c>
      <c r="E43" s="45">
        <v>10000000</v>
      </c>
      <c r="F43" s="45">
        <v>10000000</v>
      </c>
      <c r="G43" s="45">
        <v>10000000</v>
      </c>
      <c r="H43" s="45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73</v>
      </c>
      <c r="C48" s="17" t="s">
        <v>73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37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42578125" style="2" customWidth="1"/>
    <col min="6" max="7" width="12.7109375" customWidth="1"/>
    <col min="8" max="8" width="13.4257812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25" x14ac:dyDescent="0.35">
      <c r="B2" s="30" t="s">
        <v>132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135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42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 t="s">
        <v>137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44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 t="s">
        <v>153</v>
      </c>
      <c r="D18" s="13"/>
      <c r="E18" s="10"/>
      <c r="F18" s="10"/>
      <c r="G18" s="10"/>
      <c r="H18" s="10"/>
      <c r="J18" s="15" t="s">
        <v>37</v>
      </c>
    </row>
    <row r="19" spans="2:10" x14ac:dyDescent="0.25">
      <c r="B19" s="23"/>
      <c r="C19" s="29" t="s">
        <v>138</v>
      </c>
      <c r="D19" s="15" t="s">
        <v>47</v>
      </c>
      <c r="E19" s="11" t="s">
        <v>47</v>
      </c>
      <c r="F19" s="11" t="s">
        <v>47</v>
      </c>
      <c r="G19" s="11"/>
      <c r="H19" s="11"/>
      <c r="J19" s="15"/>
    </row>
    <row r="20" spans="2:10" x14ac:dyDescent="0.25">
      <c r="B20" s="23"/>
      <c r="C20" s="29" t="s">
        <v>139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140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141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142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143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144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145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46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47</v>
      </c>
      <c r="C30" s="28" t="s">
        <v>47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48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 t="s">
        <v>154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49</v>
      </c>
      <c r="D36" s="13" t="s">
        <v>37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47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50</v>
      </c>
      <c r="D43" s="13" t="s">
        <v>37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155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156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157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73</v>
      </c>
      <c r="C53" s="17" t="s">
        <v>73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L13" sqref="L13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</cols>
  <sheetData>
    <row r="2" spans="2:39" ht="23.25" x14ac:dyDescent="0.35">
      <c r="B2" s="30" t="s">
        <v>132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158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136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42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 t="s">
        <v>137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44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 t="s">
        <v>153</v>
      </c>
      <c r="D18" s="13"/>
      <c r="E18" s="10"/>
      <c r="F18" s="10"/>
      <c r="G18" s="10"/>
      <c r="H18" s="10"/>
      <c r="J18" s="15" t="s">
        <v>37</v>
      </c>
    </row>
    <row r="19" spans="2:10" x14ac:dyDescent="0.25">
      <c r="B19" s="23"/>
      <c r="C19" s="29" t="s">
        <v>138</v>
      </c>
      <c r="D19" s="15" t="s">
        <v>47</v>
      </c>
      <c r="E19" s="11" t="s">
        <v>47</v>
      </c>
      <c r="F19" s="11" t="s">
        <v>47</v>
      </c>
      <c r="G19" s="11"/>
      <c r="H19" s="11"/>
      <c r="J19" s="15"/>
    </row>
    <row r="20" spans="2:10" x14ac:dyDescent="0.25">
      <c r="B20" s="23"/>
      <c r="C20" s="29" t="s">
        <v>139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140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159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142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143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144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46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47</v>
      </c>
      <c r="C30" s="28" t="s">
        <v>47</v>
      </c>
      <c r="D30" s="13" t="s">
        <v>37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48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 t="s">
        <v>147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49</v>
      </c>
      <c r="D36" s="13" t="s">
        <v>37</v>
      </c>
      <c r="E36" s="10"/>
      <c r="F36" s="10"/>
      <c r="G36" s="10"/>
      <c r="H36" s="10"/>
      <c r="J36" s="15"/>
    </row>
    <row r="37" spans="2:10" ht="30" x14ac:dyDescent="0.25">
      <c r="B37" s="23"/>
      <c r="C37" s="46" t="s">
        <v>160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161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162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163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164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50</v>
      </c>
      <c r="D43" s="13" t="s">
        <v>37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165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73</v>
      </c>
      <c r="C53" s="17" t="s">
        <v>73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166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L30"/>
  <sheetViews>
    <sheetView showGridLines="0" tabSelected="1" zoomScale="90" zoomScaleNormal="90" workbookViewId="0">
      <selection activeCell="C1" sqref="C1"/>
    </sheetView>
  </sheetViews>
  <sheetFormatPr defaultColWidth="9.28515625" defaultRowHeight="15" customHeight="1" x14ac:dyDescent="0.25"/>
  <cols>
    <col min="1" max="1" width="3.28515625" style="53" customWidth="1"/>
    <col min="2" max="2" width="12.28515625" style="53" customWidth="1"/>
    <col min="3" max="3" width="29.28515625" style="53" customWidth="1"/>
    <col min="4" max="4" width="15.28515625" style="54" bestFit="1" customWidth="1"/>
    <col min="5" max="5" width="15.28515625" style="55" bestFit="1" customWidth="1"/>
    <col min="6" max="6" width="15.28515625" style="53" bestFit="1" customWidth="1"/>
    <col min="7" max="7" width="14.140625" style="53" bestFit="1" customWidth="1"/>
    <col min="8" max="8" width="14.140625" style="55" bestFit="1" customWidth="1"/>
    <col min="9" max="9" width="3.5703125" style="53" customWidth="1"/>
    <col min="10" max="10" width="15.42578125" style="53" bestFit="1" customWidth="1"/>
    <col min="11" max="11" width="9.140625" style="53" customWidth="1"/>
    <col min="12" max="12" width="16.42578125" style="53" customWidth="1"/>
    <col min="13" max="13" width="12.7109375" style="53" customWidth="1"/>
    <col min="14" max="14" width="20.85546875" style="53" bestFit="1" customWidth="1"/>
    <col min="15" max="15" width="57.42578125" style="53" bestFit="1" customWidth="1"/>
    <col min="16" max="16" width="60.42578125" style="53" bestFit="1" customWidth="1"/>
    <col min="17" max="16384" width="9.28515625" style="53"/>
  </cols>
  <sheetData>
    <row r="2" spans="2:38" ht="23.25" x14ac:dyDescent="0.35">
      <c r="B2" s="52" t="s">
        <v>0</v>
      </c>
    </row>
    <row r="3" spans="2:38" ht="26.65" customHeight="1" x14ac:dyDescent="0.25">
      <c r="B3" s="189" t="s">
        <v>1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</row>
    <row r="4" spans="2:38" ht="15" customHeight="1" x14ac:dyDescent="0.25">
      <c r="B4" s="50"/>
      <c r="L4"/>
      <c r="M4"/>
      <c r="N4"/>
      <c r="O4"/>
    </row>
    <row r="5" spans="2:38" ht="18.75" x14ac:dyDescent="0.3">
      <c r="B5" s="133" t="s">
        <v>2</v>
      </c>
      <c r="C5" s="134"/>
      <c r="D5" s="134"/>
      <c r="E5" s="134"/>
      <c r="F5" s="134"/>
      <c r="G5" s="134"/>
      <c r="H5" s="134"/>
      <c r="I5" s="134"/>
      <c r="J5" s="135"/>
      <c r="L5"/>
      <c r="M5"/>
      <c r="N5"/>
      <c r="O5"/>
    </row>
    <row r="6" spans="2:38" ht="17.100000000000001" customHeight="1" x14ac:dyDescent="0.25">
      <c r="B6" s="136" t="s">
        <v>3</v>
      </c>
      <c r="C6" s="136" t="s">
        <v>4</v>
      </c>
      <c r="D6" s="136" t="s">
        <v>5</v>
      </c>
      <c r="E6" s="137" t="s">
        <v>6</v>
      </c>
      <c r="F6" s="137" t="s">
        <v>7</v>
      </c>
      <c r="G6" s="137" t="s">
        <v>8</v>
      </c>
      <c r="H6" s="138" t="s">
        <v>9</v>
      </c>
      <c r="I6" s="139"/>
      <c r="J6" s="140" t="s">
        <v>10</v>
      </c>
      <c r="L6"/>
      <c r="M6"/>
      <c r="N6"/>
      <c r="O6"/>
    </row>
    <row r="7" spans="2:38" s="50" customFormat="1" x14ac:dyDescent="0.25">
      <c r="B7" s="141" t="s">
        <v>11</v>
      </c>
      <c r="C7" s="142" t="s">
        <v>12</v>
      </c>
      <c r="D7" s="151">
        <f>'Project 1 Budget'!D12+'Project 3 Budget'!D13+'Project 2 Budget'!D13</f>
        <v>160000</v>
      </c>
      <c r="E7" s="151">
        <f>'Project 1 Budget'!E12+'Project 3 Budget'!E13+'Project 2 Budget'!E13</f>
        <v>160000</v>
      </c>
      <c r="F7" s="151">
        <f>'Project 1 Budget'!F12+'Project 3 Budget'!F13+'Project 2 Budget'!F13</f>
        <v>159000</v>
      </c>
      <c r="G7" s="151">
        <f>'Project 1 Budget'!G12+'Project 3 Budget'!G13+'Project 2 Budget'!G13</f>
        <v>159000</v>
      </c>
      <c r="H7" s="151">
        <f>'Project 1 Budget'!H12+'Project 3 Budget'!H13+'Project 2 Budget'!H13</f>
        <v>160000</v>
      </c>
      <c r="I7" s="152"/>
      <c r="J7" s="151">
        <f>SUM(D7:I7)</f>
        <v>798000</v>
      </c>
      <c r="K7" s="53"/>
      <c r="L7"/>
      <c r="M7"/>
      <c r="N7"/>
      <c r="O7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</row>
    <row r="8" spans="2:38" x14ac:dyDescent="0.25">
      <c r="B8" s="68"/>
      <c r="C8" s="142" t="s">
        <v>13</v>
      </c>
      <c r="D8" s="151">
        <f>'Project 1 Budget'!D15+'Project 3 Budget'!D16+'Project 2 Budget'!D16</f>
        <v>75200</v>
      </c>
      <c r="E8" s="151">
        <f>'Project 1 Budget'!E15+'Project 3 Budget'!E16+'Project 2 Budget'!E16</f>
        <v>75200</v>
      </c>
      <c r="F8" s="151">
        <f>'Project 1 Budget'!F15+'Project 3 Budget'!F16+'Project 2 Budget'!F16</f>
        <v>74730</v>
      </c>
      <c r="G8" s="151">
        <f>'Project 1 Budget'!G15+'Project 3 Budget'!G16+'Project 2 Budget'!G16</f>
        <v>74730</v>
      </c>
      <c r="H8" s="151">
        <f>'Project 1 Budget'!H15+'Project 3 Budget'!H16+'Project 2 Budget'!H16</f>
        <v>75200</v>
      </c>
      <c r="I8" s="152"/>
      <c r="J8" s="151">
        <f>SUM(D8:I8)</f>
        <v>375060</v>
      </c>
      <c r="L8"/>
      <c r="M8"/>
      <c r="N8"/>
      <c r="O8"/>
    </row>
    <row r="9" spans="2:38" x14ac:dyDescent="0.25">
      <c r="B9" s="68"/>
      <c r="C9" s="142" t="s">
        <v>14</v>
      </c>
      <c r="D9" s="151">
        <f>'Project 1 Budget'!D18+'Project 3 Budget'!D19+'Project 2 Budget'!D19</f>
        <v>3296</v>
      </c>
      <c r="E9" s="151">
        <f>'Project 1 Budget'!E18+'Project 3 Budget'!E19+'Project 2 Budget'!E19</f>
        <v>3296</v>
      </c>
      <c r="F9" s="151">
        <f>'Project 1 Budget'!F18+'Project 3 Budget'!F19+'Project 2 Budget'!F19</f>
        <v>3296</v>
      </c>
      <c r="G9" s="151">
        <f>'Project 1 Budget'!G18+'Project 3 Budget'!G19+'Project 2 Budget'!G19</f>
        <v>3295</v>
      </c>
      <c r="H9" s="151">
        <f>'Project 1 Budget'!H18+'Project 3 Budget'!H19+'Project 2 Budget'!H19</f>
        <v>3528</v>
      </c>
      <c r="I9" s="152"/>
      <c r="J9" s="151">
        <f>SUM(D9:I9)</f>
        <v>16711</v>
      </c>
      <c r="K9" s="149"/>
      <c r="L9"/>
      <c r="M9"/>
      <c r="N9"/>
      <c r="O9"/>
    </row>
    <row r="10" spans="2:38" x14ac:dyDescent="0.25">
      <c r="B10" s="68"/>
      <c r="C10" s="142" t="s">
        <v>15</v>
      </c>
      <c r="D10" s="151">
        <f>'Project 1 Budget'!D21+'Project 3 Budget'!D22+'Project 2 Budget'!D22</f>
        <v>0</v>
      </c>
      <c r="E10" s="151">
        <f>'Project 1 Budget'!E21+'Project 3 Budget'!E22+'Project 2 Budget'!E22</f>
        <v>0</v>
      </c>
      <c r="F10" s="151">
        <f>'Project 1 Budget'!F21+'Project 3 Budget'!F22+'Project 2 Budget'!F22</f>
        <v>0</v>
      </c>
      <c r="G10" s="151">
        <f>'Project 1 Budget'!G21+'Project 3 Budget'!G22+'Project 2 Budget'!G22</f>
        <v>0</v>
      </c>
      <c r="H10" s="151">
        <f>'Project 1 Budget'!H21+'Project 3 Budget'!H22+'Project 2 Budget'!H22</f>
        <v>0</v>
      </c>
      <c r="I10" s="152"/>
      <c r="J10" s="151">
        <f t="shared" ref="J10:J14" si="0">SUM(D10:I10)</f>
        <v>0</v>
      </c>
      <c r="K10" s="149"/>
      <c r="L10"/>
      <c r="M10"/>
      <c r="N10"/>
      <c r="O10"/>
    </row>
    <row r="11" spans="2:38" x14ac:dyDescent="0.25">
      <c r="B11" s="68"/>
      <c r="C11" s="142" t="s">
        <v>16</v>
      </c>
      <c r="D11" s="151">
        <f>'Project 1 Budget'!D24+'Project 3 Budget'!D25+'Project 2 Budget'!D25</f>
        <v>1000</v>
      </c>
      <c r="E11" s="151">
        <f>'Project 1 Budget'!E24+'Project 3 Budget'!E25+'Project 2 Budget'!E25</f>
        <v>500</v>
      </c>
      <c r="F11" s="151">
        <f>'Project 1 Budget'!F24+'Project 3 Budget'!F25+'Project 2 Budget'!F25</f>
        <v>500</v>
      </c>
      <c r="G11" s="151">
        <f>'Project 1 Budget'!G24+'Project 3 Budget'!G25+'Project 2 Budget'!G25</f>
        <v>500</v>
      </c>
      <c r="H11" s="151">
        <f>'Project 1 Budget'!H24+'Project 3 Budget'!H25+'Project 2 Budget'!H25</f>
        <v>500</v>
      </c>
      <c r="I11" s="152"/>
      <c r="J11" s="151">
        <f t="shared" si="0"/>
        <v>3000</v>
      </c>
      <c r="K11" s="149"/>
      <c r="L11"/>
      <c r="M11"/>
      <c r="N11"/>
      <c r="O11"/>
    </row>
    <row r="12" spans="2:38" x14ac:dyDescent="0.25">
      <c r="B12" s="68"/>
      <c r="C12" s="142" t="s">
        <v>17</v>
      </c>
      <c r="D12" s="151">
        <f>'Project 1 Budget'!D35+'Project 3 Budget'!D28+'Project 2 Budget'!D28</f>
        <v>50000</v>
      </c>
      <c r="E12" s="151">
        <f>'Project 1 Budget'!E35+'Project 3 Budget'!E28+'Project 2 Budget'!E28</f>
        <v>0</v>
      </c>
      <c r="F12" s="151">
        <f>'Project 1 Budget'!F35+'Project 3 Budget'!F28+'Project 2 Budget'!F28</f>
        <v>0</v>
      </c>
      <c r="G12" s="151">
        <f>'Project 1 Budget'!G35+'Project 3 Budget'!G28+'Project 2 Budget'!G28</f>
        <v>0</v>
      </c>
      <c r="H12" s="151">
        <f>'Project 1 Budget'!H35+'Project 3 Budget'!H28+'Project 2 Budget'!H28</f>
        <v>0</v>
      </c>
      <c r="I12" s="152"/>
      <c r="J12" s="151">
        <f t="shared" si="0"/>
        <v>50000</v>
      </c>
      <c r="K12" s="149"/>
      <c r="L12"/>
      <c r="M12"/>
      <c r="N12"/>
      <c r="O12"/>
    </row>
    <row r="13" spans="2:38" x14ac:dyDescent="0.25">
      <c r="B13" s="68"/>
      <c r="C13" s="142" t="s">
        <v>18</v>
      </c>
      <c r="D13" s="151">
        <f>'Project 1 Budget'!D60+'Project 3 Budget'!D36+'Project 2 Budget'!D36</f>
        <v>56869705</v>
      </c>
      <c r="E13" s="151">
        <f>'Project 1 Budget'!E60+'Project 3 Budget'!E36+'Project 2 Budget'!E36</f>
        <v>11869701</v>
      </c>
      <c r="F13" s="151">
        <f>'Project 1 Budget'!F60+'Project 3 Budget'!F36+'Project 2 Budget'!F36</f>
        <v>11869700</v>
      </c>
      <c r="G13" s="151">
        <f>'Project 1 Budget'!G60+'Project 3 Budget'!G36+'Project 2 Budget'!G36</f>
        <v>8920446</v>
      </c>
      <c r="H13" s="151">
        <f>'Project 1 Budget'!H60+'Project 3 Budget'!H36+'Project 2 Budget'!H36</f>
        <v>8920446</v>
      </c>
      <c r="I13" s="152"/>
      <c r="J13" s="162">
        <f t="shared" si="0"/>
        <v>98449998</v>
      </c>
      <c r="K13" s="149"/>
      <c r="L13"/>
      <c r="M13"/>
      <c r="N13"/>
      <c r="O13"/>
    </row>
    <row r="14" spans="2:38" x14ac:dyDescent="0.25">
      <c r="B14" s="78"/>
      <c r="C14" s="72" t="s">
        <v>19</v>
      </c>
      <c r="D14" s="153">
        <f>D13+D12+D11+D10+D9+D8+D7</f>
        <v>57159201</v>
      </c>
      <c r="E14" s="153">
        <f>E13+E12+E11+E10+E9+E8+E7</f>
        <v>12108697</v>
      </c>
      <c r="F14" s="153">
        <f>F13+F12+F11+F10+F9+F8+F7</f>
        <v>12107226</v>
      </c>
      <c r="G14" s="153">
        <f>G13+G12+G11+G10+G9+G8+G7</f>
        <v>9157971</v>
      </c>
      <c r="H14" s="153">
        <f>H13+H12+H11+H10+H9+H8+H7</f>
        <v>9159674</v>
      </c>
      <c r="I14" s="154"/>
      <c r="J14" s="153">
        <f t="shared" si="0"/>
        <v>99692769</v>
      </c>
      <c r="K14" s="149"/>
      <c r="L14"/>
      <c r="M14"/>
      <c r="N14"/>
      <c r="O14"/>
    </row>
    <row r="15" spans="2:38" x14ac:dyDescent="0.25">
      <c r="B15" s="84"/>
      <c r="D15" s="154"/>
      <c r="E15" s="154"/>
      <c r="F15" s="154"/>
      <c r="G15" s="154"/>
      <c r="H15" s="154"/>
      <c r="I15" s="154"/>
      <c r="J15" s="155" t="s">
        <v>20</v>
      </c>
      <c r="K15" s="149"/>
      <c r="L15"/>
      <c r="M15"/>
      <c r="N15"/>
      <c r="O15"/>
    </row>
    <row r="16" spans="2:38" ht="20.100000000000001" customHeight="1" x14ac:dyDescent="0.25">
      <c r="B16" s="84"/>
      <c r="C16" s="72" t="s">
        <v>21</v>
      </c>
      <c r="D16" s="156">
        <f>'Project 1 Budget'!D65+'Project 3 Budget'!D41+'Project 2 Budget'!D41</f>
        <v>61600</v>
      </c>
      <c r="E16" s="156">
        <f>'Project 1 Budget'!E65+'Project 3 Budget'!E41+'Project 2 Budget'!E41</f>
        <v>61600</v>
      </c>
      <c r="F16" s="156">
        <f>'Project 1 Budget'!F65+'Project 3 Budget'!F41+'Project 2 Budget'!F41</f>
        <v>61215</v>
      </c>
      <c r="G16" s="156">
        <f>'Project 1 Budget'!G65+'Project 3 Budget'!G41+'Project 2 Budget'!G41</f>
        <v>61215</v>
      </c>
      <c r="H16" s="156">
        <f>'Project 1 Budget'!H65+'Project 3 Budget'!H41+'Project 2 Budget'!H41</f>
        <v>61600</v>
      </c>
      <c r="I16" s="154"/>
      <c r="J16" s="156">
        <f>SUM(D16:H16)</f>
        <v>307230</v>
      </c>
      <c r="L16"/>
      <c r="M16"/>
      <c r="N16"/>
      <c r="O16"/>
    </row>
    <row r="17" spans="2:16" x14ac:dyDescent="0.25">
      <c r="B17" s="84"/>
      <c r="D17" s="154"/>
      <c r="E17" s="154"/>
      <c r="F17" s="154"/>
      <c r="G17" s="154"/>
      <c r="H17" s="154"/>
      <c r="I17" s="154"/>
      <c r="J17" s="155" t="s">
        <v>20</v>
      </c>
      <c r="L17"/>
      <c r="M17"/>
      <c r="N17"/>
      <c r="O17"/>
    </row>
    <row r="18" spans="2:16" ht="31.15" customHeight="1" x14ac:dyDescent="0.25">
      <c r="B18" s="144" t="s">
        <v>22</v>
      </c>
      <c r="C18" s="80"/>
      <c r="D18" s="157">
        <f>D14+D16</f>
        <v>57220801</v>
      </c>
      <c r="E18" s="157">
        <f>E14+E16</f>
        <v>12170297</v>
      </c>
      <c r="F18" s="157">
        <f>F14+F16</f>
        <v>12168441</v>
      </c>
      <c r="G18" s="157">
        <f>G14+G16</f>
        <v>9219186</v>
      </c>
      <c r="H18" s="157">
        <f>H14+H16</f>
        <v>9221274</v>
      </c>
      <c r="I18" s="158"/>
      <c r="J18" s="159">
        <f>J14+J16</f>
        <v>99999999</v>
      </c>
      <c r="L18"/>
      <c r="M18"/>
      <c r="N18"/>
      <c r="O18"/>
    </row>
    <row r="19" spans="2:16" s="82" customFormat="1" x14ac:dyDescent="0.25">
      <c r="B19" s="54"/>
      <c r="C19" s="53"/>
      <c r="D19" s="54"/>
      <c r="E19" s="55"/>
      <c r="F19" s="53"/>
      <c r="G19" s="53"/>
      <c r="H19" s="55"/>
      <c r="I19" s="53"/>
      <c r="J19" s="187">
        <v>99999998.999999985</v>
      </c>
      <c r="L19" s="188"/>
      <c r="M19"/>
      <c r="N19"/>
      <c r="O19"/>
    </row>
    <row r="20" spans="2:16" ht="15" customHeight="1" x14ac:dyDescent="0.25">
      <c r="B20" s="54"/>
      <c r="L20"/>
      <c r="M20"/>
      <c r="N20"/>
      <c r="O20"/>
    </row>
    <row r="21" spans="2:16" ht="15" customHeight="1" x14ac:dyDescent="0.3">
      <c r="B21" s="133" t="s">
        <v>23</v>
      </c>
      <c r="C21" s="134"/>
      <c r="D21" s="134"/>
      <c r="E21" s="192"/>
      <c r="F21" s="192"/>
      <c r="H21" s="53"/>
      <c r="L21"/>
      <c r="M21"/>
      <c r="N21"/>
      <c r="O21"/>
    </row>
    <row r="22" spans="2:16" ht="29.1" customHeight="1" x14ac:dyDescent="0.25">
      <c r="B22" s="136" t="s">
        <v>24</v>
      </c>
      <c r="C22" s="136" t="s">
        <v>25</v>
      </c>
      <c r="D22" s="145" t="s">
        <v>26</v>
      </c>
      <c r="E22" s="193" t="s">
        <v>27</v>
      </c>
      <c r="F22" s="193"/>
      <c r="H22" s="53"/>
      <c r="J22" s="168"/>
      <c r="K22" s="166"/>
      <c r="N22" s="166"/>
      <c r="O22" s="166"/>
      <c r="P22" s="166"/>
    </row>
    <row r="23" spans="2:16" ht="30" customHeight="1" x14ac:dyDescent="0.25">
      <c r="B23" s="142">
        <v>1</v>
      </c>
      <c r="C23" s="186" t="s">
        <v>28</v>
      </c>
      <c r="D23" s="146">
        <f>'Project 1 Budget'!J67</f>
        <v>80798757</v>
      </c>
      <c r="E23" s="194">
        <f>D23/D$29</f>
        <v>0.80798757807987576</v>
      </c>
      <c r="F23" s="194"/>
      <c r="H23" s="53"/>
    </row>
    <row r="24" spans="2:16" ht="30" customHeight="1" x14ac:dyDescent="0.25">
      <c r="B24" s="142">
        <v>2</v>
      </c>
      <c r="C24" s="186" t="s">
        <v>29</v>
      </c>
      <c r="D24" s="146">
        <f>'Project 2 Budget'!J43</f>
        <v>9581310</v>
      </c>
      <c r="E24" s="195">
        <f>D24/D29</f>
        <v>9.5813100958131003E-2</v>
      </c>
      <c r="F24" s="196"/>
      <c r="H24" s="53"/>
    </row>
    <row r="25" spans="2:16" ht="15" customHeight="1" x14ac:dyDescent="0.25">
      <c r="B25" s="142">
        <v>3</v>
      </c>
      <c r="C25" s="70" t="s">
        <v>30</v>
      </c>
      <c r="D25" s="176">
        <f>'Project 3 Budget'!J43</f>
        <v>9619932</v>
      </c>
      <c r="E25" s="194">
        <f>D25/D$29</f>
        <v>9.6199320961993212E-2</v>
      </c>
      <c r="F25" s="194"/>
      <c r="H25" s="53"/>
    </row>
    <row r="26" spans="2:16" ht="15" hidden="1" customHeight="1" x14ac:dyDescent="0.25">
      <c r="B26" s="142">
        <v>4</v>
      </c>
      <c r="C26" s="143" t="s">
        <v>31</v>
      </c>
      <c r="D26" s="146">
        <f>'Measure 4 Budget'!J57</f>
        <v>0</v>
      </c>
      <c r="E26" s="190">
        <f>D26/D$29</f>
        <v>0</v>
      </c>
      <c r="F26" s="190"/>
      <c r="H26" s="53"/>
    </row>
    <row r="27" spans="2:16" ht="15" hidden="1" customHeight="1" x14ac:dyDescent="0.25">
      <c r="B27" s="142">
        <v>5</v>
      </c>
      <c r="C27" s="143" t="s">
        <v>32</v>
      </c>
      <c r="D27" s="146">
        <v>0</v>
      </c>
      <c r="E27" s="190">
        <f>D27/D$29</f>
        <v>0</v>
      </c>
      <c r="F27" s="190"/>
      <c r="H27" s="53"/>
    </row>
    <row r="28" spans="2:16" ht="18.75" hidden="1" customHeight="1" x14ac:dyDescent="0.25">
      <c r="B28" s="142"/>
      <c r="C28" s="143"/>
      <c r="D28" s="146"/>
      <c r="E28" s="190"/>
      <c r="F28" s="190"/>
      <c r="H28" s="53"/>
    </row>
    <row r="29" spans="2:16" ht="15" customHeight="1" x14ac:dyDescent="0.25">
      <c r="B29" s="142" t="s">
        <v>33</v>
      </c>
      <c r="C29" s="143"/>
      <c r="D29" s="146">
        <f>SUM(D23:D28)</f>
        <v>99999999</v>
      </c>
      <c r="E29" s="191">
        <f t="shared" ref="E29" si="1">SUM(E23:E28)</f>
        <v>1</v>
      </c>
      <c r="F29" s="191"/>
      <c r="H29" s="53"/>
    </row>
    <row r="30" spans="2:16" ht="15" customHeight="1" x14ac:dyDescent="0.25">
      <c r="D30" s="171"/>
      <c r="H30" s="53"/>
    </row>
  </sheetData>
  <mergeCells count="10">
    <mergeCell ref="B3:M3"/>
    <mergeCell ref="E27:F27"/>
    <mergeCell ref="E28:F28"/>
    <mergeCell ref="E29:F29"/>
    <mergeCell ref="E21:F21"/>
    <mergeCell ref="E22:F22"/>
    <mergeCell ref="E23:F23"/>
    <mergeCell ref="E25:F25"/>
    <mergeCell ref="E26:F26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2"/>
  <sheetViews>
    <sheetView showGridLines="0" zoomScale="90" zoomScaleNormal="90" workbookViewId="0">
      <selection activeCell="L8" sqref="L8"/>
    </sheetView>
  </sheetViews>
  <sheetFormatPr defaultColWidth="9.28515625" defaultRowHeight="15" x14ac:dyDescent="0.25"/>
  <cols>
    <col min="1" max="1" width="3.28515625" style="53" customWidth="1"/>
    <col min="2" max="2" width="12.85546875" style="53" customWidth="1"/>
    <col min="3" max="3" width="45.5703125" style="53" customWidth="1"/>
    <col min="4" max="4" width="21.42578125" style="54" customWidth="1"/>
    <col min="5" max="5" width="15.42578125" style="55" bestFit="1" customWidth="1"/>
    <col min="6" max="6" width="15.42578125" style="53" bestFit="1" customWidth="1"/>
    <col min="7" max="7" width="13" style="53" customWidth="1"/>
    <col min="8" max="8" width="15.42578125" style="55" bestFit="1" customWidth="1"/>
    <col min="9" max="9" width="1.7109375" style="53" customWidth="1"/>
    <col min="10" max="10" width="16.42578125" style="53" bestFit="1" customWidth="1"/>
    <col min="11" max="11" width="13.5703125" style="177" bestFit="1" customWidth="1"/>
    <col min="12" max="12" width="14.42578125" style="149" bestFit="1" customWidth="1"/>
    <col min="13" max="13" width="9.28515625" style="149"/>
    <col min="14" max="16384" width="9.28515625" style="53"/>
  </cols>
  <sheetData>
    <row r="2" spans="2:39" ht="23.25" x14ac:dyDescent="0.35">
      <c r="B2" s="197" t="s">
        <v>34</v>
      </c>
      <c r="C2" s="197"/>
      <c r="D2" s="197"/>
      <c r="E2" s="197"/>
      <c r="F2" s="197"/>
    </row>
    <row r="3" spans="2:39" x14ac:dyDescent="0.25">
      <c r="B3" s="50" t="s">
        <v>35</v>
      </c>
      <c r="K3" s="179"/>
    </row>
    <row r="4" spans="2:39" x14ac:dyDescent="0.25">
      <c r="B4" s="50"/>
    </row>
    <row r="5" spans="2:39" ht="18.75" x14ac:dyDescent="0.3">
      <c r="B5" s="56" t="s">
        <v>2</v>
      </c>
      <c r="C5" s="57"/>
      <c r="D5" s="57"/>
      <c r="E5" s="57"/>
      <c r="F5" s="57"/>
      <c r="G5" s="57"/>
      <c r="H5" s="57"/>
      <c r="I5" s="57"/>
      <c r="J5" s="58"/>
    </row>
    <row r="6" spans="2:39" x14ac:dyDescent="0.25">
      <c r="B6" s="59" t="s">
        <v>3</v>
      </c>
      <c r="C6" s="59" t="s">
        <v>4</v>
      </c>
      <c r="D6" s="59" t="s">
        <v>5</v>
      </c>
      <c r="E6" s="60" t="s">
        <v>6</v>
      </c>
      <c r="F6" s="60" t="s">
        <v>7</v>
      </c>
      <c r="G6" s="60" t="s">
        <v>8</v>
      </c>
      <c r="H6" s="61" t="s">
        <v>9</v>
      </c>
      <c r="I6" s="62"/>
      <c r="J6" s="63" t="s">
        <v>10</v>
      </c>
      <c r="K6"/>
      <c r="L6"/>
    </row>
    <row r="7" spans="2:39" s="50" customFormat="1" x14ac:dyDescent="0.25">
      <c r="B7" s="64" t="s">
        <v>11</v>
      </c>
      <c r="C7" s="65" t="s">
        <v>36</v>
      </c>
      <c r="D7" s="66" t="s">
        <v>37</v>
      </c>
      <c r="E7" s="66" t="s">
        <v>37</v>
      </c>
      <c r="F7" s="66" t="s">
        <v>37</v>
      </c>
      <c r="G7" s="66"/>
      <c r="H7" s="66" t="s">
        <v>37</v>
      </c>
      <c r="I7" s="53"/>
      <c r="J7" s="67" t="s">
        <v>37</v>
      </c>
      <c r="K7"/>
      <c r="L7"/>
      <c r="M7" s="149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</row>
    <row r="8" spans="2:39" x14ac:dyDescent="0.25">
      <c r="B8" s="68"/>
      <c r="C8" s="69" t="s">
        <v>38</v>
      </c>
      <c r="D8" s="160">
        <v>1500</v>
      </c>
      <c r="E8" s="160">
        <v>1500</v>
      </c>
      <c r="F8" s="160">
        <v>1500</v>
      </c>
      <c r="G8" s="160">
        <v>1500</v>
      </c>
      <c r="H8" s="160">
        <v>1500</v>
      </c>
      <c r="I8" s="154"/>
      <c r="J8" s="155">
        <f>SUM(D8:H8)</f>
        <v>7500</v>
      </c>
      <c r="K8"/>
      <c r="L8"/>
    </row>
    <row r="9" spans="2:39" x14ac:dyDescent="0.25">
      <c r="B9" s="68"/>
      <c r="C9" s="69" t="s">
        <v>39</v>
      </c>
      <c r="D9" s="160">
        <v>2500</v>
      </c>
      <c r="E9" s="161">
        <v>2500</v>
      </c>
      <c r="F9" s="155">
        <v>2500</v>
      </c>
      <c r="G9" s="155">
        <v>2500</v>
      </c>
      <c r="H9" s="155">
        <v>2500</v>
      </c>
      <c r="I9" s="154"/>
      <c r="J9" s="155">
        <f t="shared" ref="J9:J11" si="0">SUM(D9:H9)</f>
        <v>12500</v>
      </c>
      <c r="K9"/>
      <c r="L9"/>
    </row>
    <row r="10" spans="2:39" x14ac:dyDescent="0.25">
      <c r="B10" s="68"/>
      <c r="C10" s="69" t="s">
        <v>40</v>
      </c>
      <c r="D10" s="160">
        <v>5000</v>
      </c>
      <c r="E10" s="160">
        <v>5000</v>
      </c>
      <c r="F10" s="160">
        <v>5000</v>
      </c>
      <c r="G10" s="160">
        <v>5000</v>
      </c>
      <c r="H10" s="160">
        <v>5000</v>
      </c>
      <c r="I10" s="154"/>
      <c r="J10" s="155">
        <f t="shared" si="0"/>
        <v>25000</v>
      </c>
      <c r="K10"/>
      <c r="L10"/>
    </row>
    <row r="11" spans="2:39" x14ac:dyDescent="0.25">
      <c r="B11" s="68"/>
      <c r="C11" s="69" t="s">
        <v>41</v>
      </c>
      <c r="D11" s="160">
        <v>1000</v>
      </c>
      <c r="E11" s="160">
        <v>1000</v>
      </c>
      <c r="F11" s="160">
        <v>0</v>
      </c>
      <c r="G11" s="160">
        <v>0</v>
      </c>
      <c r="H11" s="160">
        <v>1000</v>
      </c>
      <c r="I11" s="154"/>
      <c r="J11" s="155">
        <f t="shared" si="0"/>
        <v>3000</v>
      </c>
      <c r="K11"/>
      <c r="L11"/>
    </row>
    <row r="12" spans="2:39" x14ac:dyDescent="0.25">
      <c r="B12" s="68"/>
      <c r="C12" s="72" t="s">
        <v>12</v>
      </c>
      <c r="D12" s="153">
        <f>SUM(D8:D11)</f>
        <v>10000</v>
      </c>
      <c r="E12" s="153">
        <f>SUM(E8:E11)</f>
        <v>10000</v>
      </c>
      <c r="F12" s="153">
        <f>SUM(F8:F11)</f>
        <v>9000</v>
      </c>
      <c r="G12" s="153">
        <f>SUM(G8:G11)</f>
        <v>9000</v>
      </c>
      <c r="H12" s="153">
        <f>SUM(H8:H11)</f>
        <v>10000</v>
      </c>
      <c r="I12" s="154"/>
      <c r="J12" s="153">
        <f>SUM(J8:J11)</f>
        <v>48000</v>
      </c>
      <c r="K12" s="188"/>
      <c r="L12"/>
    </row>
    <row r="13" spans="2:39" x14ac:dyDescent="0.25">
      <c r="B13" s="68"/>
      <c r="C13" s="74" t="s">
        <v>42</v>
      </c>
      <c r="D13" s="162" t="s">
        <v>37</v>
      </c>
      <c r="E13" s="163"/>
      <c r="F13" s="163"/>
      <c r="G13" s="163"/>
      <c r="H13" s="163"/>
      <c r="I13" s="154"/>
      <c r="J13" s="155" t="s">
        <v>37</v>
      </c>
      <c r="K13"/>
      <c r="L13"/>
    </row>
    <row r="14" spans="2:39" x14ac:dyDescent="0.25">
      <c r="B14" s="68"/>
      <c r="C14" s="147" t="s">
        <v>43</v>
      </c>
      <c r="D14" s="162">
        <f>D12*0.47</f>
        <v>4700</v>
      </c>
      <c r="E14" s="162">
        <f t="shared" ref="E14:H14" si="1">E12*0.47</f>
        <v>4700</v>
      </c>
      <c r="F14" s="162">
        <f t="shared" si="1"/>
        <v>4230</v>
      </c>
      <c r="G14" s="162">
        <f t="shared" si="1"/>
        <v>4230</v>
      </c>
      <c r="H14" s="162">
        <f t="shared" si="1"/>
        <v>4700</v>
      </c>
      <c r="I14" s="154"/>
      <c r="J14" s="155">
        <f>SUM(D14:H14)</f>
        <v>22560</v>
      </c>
      <c r="K14"/>
      <c r="L14"/>
    </row>
    <row r="15" spans="2:39" x14ac:dyDescent="0.25">
      <c r="B15" s="68"/>
      <c r="C15" s="72" t="s">
        <v>13</v>
      </c>
      <c r="D15" s="153">
        <f>SUM(D14:D14)</f>
        <v>4700</v>
      </c>
      <c r="E15" s="153">
        <f>SUM(E14:E14)</f>
        <v>4700</v>
      </c>
      <c r="F15" s="153">
        <f>SUM(F14:F14)</f>
        <v>4230</v>
      </c>
      <c r="G15" s="153">
        <f>SUM(G14:G14)</f>
        <v>4230</v>
      </c>
      <c r="H15" s="153">
        <f>SUM(H14:H14)</f>
        <v>4700</v>
      </c>
      <c r="I15" s="154"/>
      <c r="J15" s="153">
        <f>SUM(D15:H15)</f>
        <v>22560</v>
      </c>
      <c r="K15"/>
      <c r="L15"/>
    </row>
    <row r="16" spans="2:39" x14ac:dyDescent="0.25">
      <c r="B16" s="68"/>
      <c r="C16" s="74" t="s">
        <v>44</v>
      </c>
      <c r="D16" s="162"/>
      <c r="E16" s="163"/>
      <c r="F16" s="163"/>
      <c r="G16" s="163"/>
      <c r="H16" s="163"/>
      <c r="I16" s="154"/>
      <c r="J16" s="155">
        <f t="shared" ref="J16" si="2">SUM(D16:H16)</f>
        <v>0</v>
      </c>
    </row>
    <row r="17" spans="2:10" ht="60" x14ac:dyDescent="0.25">
      <c r="B17" s="68"/>
      <c r="C17" s="185" t="s">
        <v>45</v>
      </c>
      <c r="D17" s="162">
        <v>1000</v>
      </c>
      <c r="E17" s="162">
        <v>1000</v>
      </c>
      <c r="F17" s="162">
        <v>1000</v>
      </c>
      <c r="G17" s="162">
        <v>1000</v>
      </c>
      <c r="H17" s="162">
        <f>ROUND(1000+232.67,0)</f>
        <v>1233</v>
      </c>
      <c r="I17" s="154"/>
      <c r="J17" s="155">
        <f>SUM(D17:H17)</f>
        <v>5233</v>
      </c>
    </row>
    <row r="18" spans="2:10" x14ac:dyDescent="0.25">
      <c r="B18" s="68"/>
      <c r="C18" s="72" t="s">
        <v>14</v>
      </c>
      <c r="D18" s="153">
        <f>SUM(D17)</f>
        <v>1000</v>
      </c>
      <c r="E18" s="153">
        <f t="shared" ref="E18:H18" si="3">SUM(E17)</f>
        <v>1000</v>
      </c>
      <c r="F18" s="153">
        <f t="shared" si="3"/>
        <v>1000</v>
      </c>
      <c r="G18" s="153">
        <f t="shared" si="3"/>
        <v>1000</v>
      </c>
      <c r="H18" s="153">
        <f t="shared" si="3"/>
        <v>1233</v>
      </c>
      <c r="I18" s="154"/>
      <c r="J18" s="153">
        <f>SUM(D18:H18)</f>
        <v>5233</v>
      </c>
    </row>
    <row r="19" spans="2:10" x14ac:dyDescent="0.25">
      <c r="B19" s="68"/>
      <c r="C19" s="74" t="s">
        <v>46</v>
      </c>
      <c r="D19" s="162"/>
      <c r="E19" s="163"/>
      <c r="F19" s="163"/>
      <c r="G19" s="163"/>
      <c r="H19" s="163"/>
      <c r="I19" s="154"/>
      <c r="J19" s="162" t="s">
        <v>20</v>
      </c>
    </row>
    <row r="20" spans="2:10" x14ac:dyDescent="0.25">
      <c r="B20" s="68" t="s">
        <v>47</v>
      </c>
      <c r="C20" s="75" t="s">
        <v>47</v>
      </c>
      <c r="D20" s="148">
        <v>0</v>
      </c>
      <c r="E20" s="148">
        <v>0</v>
      </c>
      <c r="F20" s="148">
        <v>0</v>
      </c>
      <c r="G20" s="148">
        <v>0</v>
      </c>
      <c r="H20" s="148">
        <v>0</v>
      </c>
      <c r="I20" s="154"/>
      <c r="J20" s="162">
        <f>SUM(D20:I20)</f>
        <v>0</v>
      </c>
    </row>
    <row r="21" spans="2:10" x14ac:dyDescent="0.25">
      <c r="B21" s="68"/>
      <c r="C21" s="72" t="s">
        <v>15</v>
      </c>
      <c r="D21" s="164">
        <f>SUM(D20:D20)</f>
        <v>0</v>
      </c>
      <c r="E21" s="164">
        <f>SUM(E20:E20)</f>
        <v>0</v>
      </c>
      <c r="F21" s="164">
        <f>SUM(F20:F20)</f>
        <v>0</v>
      </c>
      <c r="G21" s="164">
        <f>SUM(G20:G20)</f>
        <v>0</v>
      </c>
      <c r="H21" s="164">
        <f>SUM(H20:H20)</f>
        <v>0</v>
      </c>
      <c r="I21" s="154"/>
      <c r="J21" s="153">
        <f>SUM(J20:J20)</f>
        <v>0</v>
      </c>
    </row>
    <row r="22" spans="2:10" x14ac:dyDescent="0.25">
      <c r="B22" s="68"/>
      <c r="C22" s="74" t="s">
        <v>48</v>
      </c>
      <c r="D22" s="162" t="s">
        <v>37</v>
      </c>
      <c r="E22" s="163"/>
      <c r="F22" s="163"/>
      <c r="G22" s="163"/>
      <c r="H22" s="163"/>
      <c r="I22" s="154"/>
      <c r="J22" s="162"/>
    </row>
    <row r="23" spans="2:10" x14ac:dyDescent="0.25">
      <c r="B23" s="68"/>
      <c r="C23" s="69"/>
      <c r="D23" s="148">
        <v>0</v>
      </c>
      <c r="E23" s="148">
        <v>0</v>
      </c>
      <c r="F23" s="148">
        <v>0</v>
      </c>
      <c r="G23" s="148">
        <v>0</v>
      </c>
      <c r="H23" s="148">
        <v>0</v>
      </c>
      <c r="I23" s="154"/>
      <c r="J23" s="162">
        <f>SUM(D23:I23)</f>
        <v>0</v>
      </c>
    </row>
    <row r="24" spans="2:10" x14ac:dyDescent="0.25">
      <c r="B24" s="68"/>
      <c r="C24" s="72" t="s">
        <v>16</v>
      </c>
      <c r="D24" s="153">
        <f>SUM(D23:D23)</f>
        <v>0</v>
      </c>
      <c r="E24" s="153">
        <f>SUM(E23:E23)</f>
        <v>0</v>
      </c>
      <c r="F24" s="153">
        <f>SUM(F23:F23)</f>
        <v>0</v>
      </c>
      <c r="G24" s="153">
        <f>SUM(G23:G23)</f>
        <v>0</v>
      </c>
      <c r="H24" s="153">
        <f>SUM(H23:H23)</f>
        <v>0</v>
      </c>
      <c r="I24" s="154"/>
      <c r="J24" s="153">
        <f>SUM(J23:J23)</f>
        <v>0</v>
      </c>
    </row>
    <row r="25" spans="2:10" x14ac:dyDescent="0.25">
      <c r="B25" s="68"/>
      <c r="C25" s="74" t="s">
        <v>49</v>
      </c>
      <c r="D25" s="162"/>
      <c r="E25" s="163"/>
      <c r="F25" s="163"/>
      <c r="G25" s="163"/>
      <c r="H25" s="163"/>
      <c r="I25" s="154"/>
      <c r="J25" s="162"/>
    </row>
    <row r="26" spans="2:10" hidden="1" x14ac:dyDescent="0.25">
      <c r="B26" s="68"/>
      <c r="C26" s="74"/>
      <c r="D26" s="162"/>
      <c r="E26" s="163"/>
      <c r="F26" s="163"/>
      <c r="G26" s="163"/>
      <c r="H26" s="163"/>
      <c r="I26" s="154"/>
      <c r="J26" s="162"/>
    </row>
    <row r="27" spans="2:10" hidden="1" x14ac:dyDescent="0.25">
      <c r="B27" s="68"/>
      <c r="C27" s="74"/>
      <c r="D27" s="162"/>
      <c r="E27" s="163"/>
      <c r="F27" s="163"/>
      <c r="G27" s="163"/>
      <c r="H27" s="163"/>
      <c r="I27" s="154"/>
      <c r="J27" s="162"/>
    </row>
    <row r="28" spans="2:10" hidden="1" x14ac:dyDescent="0.25">
      <c r="B28" s="68"/>
      <c r="C28" s="74"/>
      <c r="D28" s="162"/>
      <c r="E28" s="163"/>
      <c r="F28" s="163"/>
      <c r="G28" s="163"/>
      <c r="H28" s="163"/>
      <c r="I28" s="154"/>
      <c r="J28" s="162"/>
    </row>
    <row r="29" spans="2:10" hidden="1" x14ac:dyDescent="0.25">
      <c r="B29" s="68"/>
      <c r="C29" s="74"/>
      <c r="D29" s="162"/>
      <c r="E29" s="163"/>
      <c r="F29" s="163"/>
      <c r="G29" s="163"/>
      <c r="H29" s="163"/>
      <c r="I29" s="154"/>
      <c r="J29" s="162"/>
    </row>
    <row r="30" spans="2:10" hidden="1" x14ac:dyDescent="0.25">
      <c r="B30" s="68"/>
      <c r="C30" s="74"/>
      <c r="D30" s="162"/>
      <c r="E30" s="163"/>
      <c r="F30" s="163"/>
      <c r="G30" s="163"/>
      <c r="H30" s="163"/>
      <c r="I30" s="154"/>
      <c r="J30" s="162"/>
    </row>
    <row r="31" spans="2:10" hidden="1" x14ac:dyDescent="0.25">
      <c r="B31" s="68"/>
      <c r="C31" s="69"/>
      <c r="D31" s="162"/>
      <c r="E31" s="162"/>
      <c r="F31" s="162"/>
      <c r="G31" s="162"/>
      <c r="H31" s="162"/>
      <c r="I31" s="154"/>
      <c r="J31" s="162">
        <f t="shared" ref="J31:J34" si="4">SUM(D31:H31)</f>
        <v>0</v>
      </c>
    </row>
    <row r="32" spans="2:10" hidden="1" x14ac:dyDescent="0.25">
      <c r="B32" s="68"/>
      <c r="C32" s="69"/>
      <c r="D32" s="162"/>
      <c r="E32" s="162"/>
      <c r="F32" s="162"/>
      <c r="G32" s="162"/>
      <c r="H32" s="162"/>
      <c r="I32" s="154"/>
      <c r="J32" s="162">
        <f t="shared" si="4"/>
        <v>0</v>
      </c>
    </row>
    <row r="33" spans="2:11" hidden="1" x14ac:dyDescent="0.25">
      <c r="B33" s="68"/>
      <c r="C33" s="69"/>
      <c r="D33" s="162"/>
      <c r="E33" s="162"/>
      <c r="F33" s="162"/>
      <c r="G33" s="162"/>
      <c r="H33" s="162"/>
      <c r="I33" s="154"/>
      <c r="J33" s="162">
        <f t="shared" si="4"/>
        <v>0</v>
      </c>
    </row>
    <row r="34" spans="2:11" x14ac:dyDescent="0.25">
      <c r="B34" s="68"/>
      <c r="C34" s="69"/>
      <c r="D34" s="148">
        <v>0</v>
      </c>
      <c r="E34" s="148">
        <v>0</v>
      </c>
      <c r="F34" s="148">
        <v>0</v>
      </c>
      <c r="G34" s="148">
        <v>0</v>
      </c>
      <c r="H34" s="148">
        <v>0</v>
      </c>
      <c r="I34" s="154"/>
      <c r="J34" s="162">
        <f t="shared" si="4"/>
        <v>0</v>
      </c>
    </row>
    <row r="35" spans="2:11" x14ac:dyDescent="0.25">
      <c r="B35" s="68"/>
      <c r="C35" s="72" t="s">
        <v>17</v>
      </c>
      <c r="D35" s="153">
        <f>SUM(D34)</f>
        <v>0</v>
      </c>
      <c r="E35" s="153">
        <f t="shared" ref="E35:H35" si="5">SUM(E34)</f>
        <v>0</v>
      </c>
      <c r="F35" s="153">
        <f t="shared" si="5"/>
        <v>0</v>
      </c>
      <c r="G35" s="153">
        <f t="shared" si="5"/>
        <v>0</v>
      </c>
      <c r="H35" s="153">
        <f t="shared" si="5"/>
        <v>0</v>
      </c>
      <c r="I35" s="154"/>
      <c r="J35" s="153">
        <f>SUM(D35:H35)</f>
        <v>0</v>
      </c>
    </row>
    <row r="36" spans="2:11" x14ac:dyDescent="0.25">
      <c r="B36" s="68"/>
      <c r="C36" s="74" t="s">
        <v>50</v>
      </c>
      <c r="D36" s="162" t="s">
        <v>37</v>
      </c>
      <c r="E36" s="163"/>
      <c r="F36" s="163"/>
      <c r="G36" s="163"/>
      <c r="H36" s="163"/>
      <c r="I36" s="154"/>
      <c r="J36" s="162"/>
    </row>
    <row r="37" spans="2:11" x14ac:dyDescent="0.25">
      <c r="B37" s="68"/>
      <c r="C37" s="69" t="s">
        <v>51</v>
      </c>
      <c r="D37" s="162"/>
      <c r="E37" s="163"/>
      <c r="F37" s="163"/>
      <c r="G37" s="163"/>
      <c r="H37" s="163"/>
      <c r="I37" s="154"/>
      <c r="J37" s="162"/>
    </row>
    <row r="38" spans="2:11" x14ac:dyDescent="0.25">
      <c r="B38" s="68"/>
      <c r="C38" s="69" t="s">
        <v>52</v>
      </c>
      <c r="D38" s="172"/>
      <c r="E38" s="173"/>
      <c r="F38" s="173"/>
      <c r="G38" s="173"/>
      <c r="H38" s="173"/>
      <c r="I38" s="170"/>
      <c r="J38" s="172"/>
    </row>
    <row r="39" spans="2:11" x14ac:dyDescent="0.25">
      <c r="B39" s="68"/>
      <c r="C39" s="76" t="s">
        <v>53</v>
      </c>
      <c r="D39" s="162">
        <v>11727</v>
      </c>
      <c r="E39" s="162">
        <v>11727</v>
      </c>
      <c r="F39" s="162">
        <v>11727</v>
      </c>
      <c r="G39" s="162">
        <v>11727</v>
      </c>
      <c r="H39" s="162">
        <v>11727</v>
      </c>
      <c r="I39" s="154"/>
      <c r="J39" s="162">
        <f>SUM(D39:H39)</f>
        <v>58635</v>
      </c>
    </row>
    <row r="40" spans="2:11" x14ac:dyDescent="0.25">
      <c r="B40" s="68"/>
      <c r="C40" s="76" t="s">
        <v>54</v>
      </c>
      <c r="D40" s="162">
        <v>6487</v>
      </c>
      <c r="E40" s="162">
        <v>6487</v>
      </c>
      <c r="F40" s="162">
        <v>6487</v>
      </c>
      <c r="G40" s="162">
        <v>6487</v>
      </c>
      <c r="H40" s="162">
        <v>6487</v>
      </c>
      <c r="I40" s="154"/>
      <c r="J40" s="162">
        <f t="shared" ref="J40:J45" si="6">SUM(D40:H40)</f>
        <v>32435</v>
      </c>
    </row>
    <row r="41" spans="2:11" x14ac:dyDescent="0.25">
      <c r="B41" s="68"/>
      <c r="C41" s="76" t="s">
        <v>55</v>
      </c>
      <c r="D41" s="162">
        <v>18510</v>
      </c>
      <c r="E41" s="162">
        <v>18510</v>
      </c>
      <c r="F41" s="162">
        <v>18510</v>
      </c>
      <c r="G41" s="162">
        <v>18510</v>
      </c>
      <c r="H41" s="162">
        <v>18510</v>
      </c>
      <c r="I41" s="154"/>
      <c r="J41" s="162">
        <f t="shared" si="6"/>
        <v>92550</v>
      </c>
    </row>
    <row r="42" spans="2:11" x14ac:dyDescent="0.25">
      <c r="B42" s="68"/>
      <c r="C42" s="76" t="s">
        <v>56</v>
      </c>
      <c r="D42" s="162">
        <v>9699</v>
      </c>
      <c r="E42" s="162">
        <v>9699</v>
      </c>
      <c r="F42" s="162">
        <v>9699</v>
      </c>
      <c r="G42" s="162">
        <v>9699</v>
      </c>
      <c r="H42" s="162">
        <v>9699</v>
      </c>
      <c r="I42" s="154"/>
      <c r="J42" s="162">
        <f t="shared" si="6"/>
        <v>48495</v>
      </c>
    </row>
    <row r="43" spans="2:11" x14ac:dyDescent="0.25">
      <c r="B43" s="68"/>
      <c r="C43" s="76" t="s">
        <v>57</v>
      </c>
      <c r="D43" s="162">
        <v>6000</v>
      </c>
      <c r="E43" s="162">
        <v>6000</v>
      </c>
      <c r="F43" s="162">
        <v>6000</v>
      </c>
      <c r="G43" s="162">
        <v>6000</v>
      </c>
      <c r="H43" s="162">
        <v>6000</v>
      </c>
      <c r="I43" s="154"/>
      <c r="J43" s="162">
        <f t="shared" si="6"/>
        <v>30000</v>
      </c>
    </row>
    <row r="44" spans="2:11" x14ac:dyDescent="0.25">
      <c r="B44" s="68"/>
      <c r="C44" s="76" t="s">
        <v>58</v>
      </c>
      <c r="D44" s="162">
        <v>6212</v>
      </c>
      <c r="E44" s="162">
        <v>6212</v>
      </c>
      <c r="F44" s="162">
        <v>6212</v>
      </c>
      <c r="G44" s="162">
        <v>6212</v>
      </c>
      <c r="H44" s="162">
        <v>6212</v>
      </c>
      <c r="I44" s="154"/>
      <c r="J44" s="162">
        <f t="shared" si="6"/>
        <v>31060</v>
      </c>
    </row>
    <row r="45" spans="2:11" x14ac:dyDescent="0.25">
      <c r="B45" s="68"/>
      <c r="C45" s="76" t="s">
        <v>59</v>
      </c>
      <c r="D45" s="162">
        <v>10515</v>
      </c>
      <c r="E45" s="162">
        <v>10515</v>
      </c>
      <c r="F45" s="162">
        <v>10515</v>
      </c>
      <c r="G45" s="162">
        <v>10515</v>
      </c>
      <c r="H45" s="162">
        <v>10515</v>
      </c>
      <c r="I45" s="154"/>
      <c r="J45" s="162">
        <f t="shared" si="6"/>
        <v>52575</v>
      </c>
      <c r="K45" s="180"/>
    </row>
    <row r="46" spans="2:11" x14ac:dyDescent="0.25">
      <c r="B46" s="68"/>
      <c r="C46" s="69" t="s">
        <v>60</v>
      </c>
      <c r="D46" s="162"/>
      <c r="E46" s="163"/>
      <c r="F46" s="163"/>
      <c r="G46" s="163"/>
      <c r="H46" s="163"/>
      <c r="I46" s="154"/>
      <c r="J46" s="155"/>
    </row>
    <row r="47" spans="2:11" x14ac:dyDescent="0.25">
      <c r="B47" s="68"/>
      <c r="C47" s="76" t="s">
        <v>61</v>
      </c>
      <c r="D47" s="162">
        <f>ROUND(0.44*D39,0)</f>
        <v>5160</v>
      </c>
      <c r="E47" s="162">
        <f t="shared" ref="E47:G47" si="7">ROUND(0.44*E39,0)</f>
        <v>5160</v>
      </c>
      <c r="F47" s="162">
        <f t="shared" si="7"/>
        <v>5160</v>
      </c>
      <c r="G47" s="162">
        <f t="shared" si="7"/>
        <v>5160</v>
      </c>
      <c r="H47" s="162">
        <f>ROUND(0.44*H39,0)</f>
        <v>5160</v>
      </c>
      <c r="I47" s="154"/>
      <c r="J47" s="162">
        <f>SUM(D47:H47)</f>
        <v>25800</v>
      </c>
    </row>
    <row r="48" spans="2:11" x14ac:dyDescent="0.25">
      <c r="B48" s="68"/>
      <c r="C48" s="76" t="s">
        <v>62</v>
      </c>
      <c r="D48" s="162">
        <f>ROUNDUP(0.44*D40,0)</f>
        <v>2855</v>
      </c>
      <c r="E48" s="162">
        <f t="shared" ref="E48:F48" si="8">ROUND(0.44*E40,0)</f>
        <v>2854</v>
      </c>
      <c r="F48" s="162">
        <f t="shared" si="8"/>
        <v>2854</v>
      </c>
      <c r="G48" s="162">
        <f>ROUND(0.44*G40,0)</f>
        <v>2854</v>
      </c>
      <c r="H48" s="162">
        <f>ROUND(0.44*H40,0)</f>
        <v>2854</v>
      </c>
      <c r="I48" s="154"/>
      <c r="J48" s="162">
        <f t="shared" ref="J48:J53" si="9">SUM(D48:H48)</f>
        <v>14271</v>
      </c>
    </row>
    <row r="49" spans="2:12" x14ac:dyDescent="0.25">
      <c r="B49" s="68"/>
      <c r="C49" s="76" t="s">
        <v>63</v>
      </c>
      <c r="D49" s="162">
        <f>ROUNDUP(0.44*D41,0)</f>
        <v>8145</v>
      </c>
      <c r="E49" s="162">
        <f>ROUNDUP(0.44*E41,0)</f>
        <v>8145</v>
      </c>
      <c r="F49" s="162">
        <f t="shared" ref="F49:H49" si="10">ROUND(0.44*F41,0)</f>
        <v>8144</v>
      </c>
      <c r="G49" s="162">
        <f t="shared" si="10"/>
        <v>8144</v>
      </c>
      <c r="H49" s="162">
        <f t="shared" si="10"/>
        <v>8144</v>
      </c>
      <c r="I49" s="154"/>
      <c r="J49" s="162">
        <f t="shared" si="9"/>
        <v>40722</v>
      </c>
    </row>
    <row r="50" spans="2:12" x14ac:dyDescent="0.25">
      <c r="B50" s="68"/>
      <c r="C50" s="76" t="s">
        <v>64</v>
      </c>
      <c r="D50" s="162">
        <f>ROUND(0.44*D42,0)</f>
        <v>4268</v>
      </c>
      <c r="E50" s="162">
        <f t="shared" ref="E50:F50" si="11">ROUND(0.44*E42,0)</f>
        <v>4268</v>
      </c>
      <c r="F50" s="162">
        <f t="shared" si="11"/>
        <v>4268</v>
      </c>
      <c r="G50" s="162">
        <f>ROUNDDOWN(0.44*G42,0)</f>
        <v>4267</v>
      </c>
      <c r="H50" s="162">
        <f>ROUNDDOWN(0.44*H42,0)</f>
        <v>4267</v>
      </c>
      <c r="I50" s="154"/>
      <c r="J50" s="162">
        <f t="shared" si="9"/>
        <v>21338</v>
      </c>
    </row>
    <row r="51" spans="2:12" x14ac:dyDescent="0.25">
      <c r="B51" s="68"/>
      <c r="C51" s="76" t="s">
        <v>65</v>
      </c>
      <c r="D51" s="162">
        <f t="shared" ref="D51:H51" si="12">0.44*D43</f>
        <v>2640</v>
      </c>
      <c r="E51" s="162">
        <f t="shared" si="12"/>
        <v>2640</v>
      </c>
      <c r="F51" s="162">
        <f t="shared" si="12"/>
        <v>2640</v>
      </c>
      <c r="G51" s="162">
        <f t="shared" si="12"/>
        <v>2640</v>
      </c>
      <c r="H51" s="162">
        <f t="shared" si="12"/>
        <v>2640</v>
      </c>
      <c r="I51" s="154"/>
      <c r="J51" s="162">
        <f t="shared" si="9"/>
        <v>13200</v>
      </c>
      <c r="L51" s="174"/>
    </row>
    <row r="52" spans="2:12" x14ac:dyDescent="0.25">
      <c r="B52" s="68"/>
      <c r="C52" s="76" t="s">
        <v>66</v>
      </c>
      <c r="D52" s="162">
        <f>ROUNDUP(0.44*D44,0)</f>
        <v>2734</v>
      </c>
      <c r="E52" s="162">
        <f t="shared" ref="E52:H52" si="13">ROUND(0.44*E44,0)</f>
        <v>2733</v>
      </c>
      <c r="F52" s="162">
        <f t="shared" si="13"/>
        <v>2733</v>
      </c>
      <c r="G52" s="162">
        <f t="shared" si="13"/>
        <v>2733</v>
      </c>
      <c r="H52" s="162">
        <f t="shared" si="13"/>
        <v>2733</v>
      </c>
      <c r="I52" s="154"/>
      <c r="J52" s="162">
        <f t="shared" si="9"/>
        <v>13666</v>
      </c>
    </row>
    <row r="53" spans="2:12" x14ac:dyDescent="0.25">
      <c r="B53" s="68"/>
      <c r="C53" s="76" t="s">
        <v>67</v>
      </c>
      <c r="D53" s="162">
        <f>ROUND(0.44*D45,0)</f>
        <v>4627</v>
      </c>
      <c r="E53" s="162">
        <f t="shared" ref="E53:F53" si="14">ROUND(0.44*E45,0)</f>
        <v>4627</v>
      </c>
      <c r="F53" s="162">
        <f t="shared" si="14"/>
        <v>4627</v>
      </c>
      <c r="G53" s="162">
        <f>ROUNDDOWN(0.44*G45,0)</f>
        <v>4626</v>
      </c>
      <c r="H53" s="162">
        <f>ROUNDDOWN(0.44*H45,0)</f>
        <v>4626</v>
      </c>
      <c r="I53" s="154"/>
      <c r="J53" s="162">
        <f t="shared" si="9"/>
        <v>23133</v>
      </c>
      <c r="K53" s="180"/>
    </row>
    <row r="54" spans="2:12" x14ac:dyDescent="0.25">
      <c r="B54" s="68"/>
      <c r="C54" s="69" t="s">
        <v>68</v>
      </c>
      <c r="D54" s="162"/>
      <c r="E54" s="162"/>
      <c r="F54" s="162"/>
      <c r="G54" s="162"/>
      <c r="H54" s="162"/>
      <c r="I54" s="154"/>
      <c r="J54" s="162"/>
    </row>
    <row r="55" spans="2:12" ht="30" x14ac:dyDescent="0.25">
      <c r="B55" s="68"/>
      <c r="C55" s="76" t="s">
        <v>69</v>
      </c>
      <c r="D55" s="162">
        <v>9780</v>
      </c>
      <c r="E55" s="162">
        <v>9780</v>
      </c>
      <c r="F55" s="162">
        <v>9780</v>
      </c>
      <c r="G55" s="162">
        <v>9780</v>
      </c>
      <c r="H55" s="162">
        <v>9780</v>
      </c>
      <c r="I55" s="154"/>
      <c r="J55" s="162">
        <f>SUM(D55:H55)</f>
        <v>48900</v>
      </c>
    </row>
    <row r="56" spans="2:12" ht="30" x14ac:dyDescent="0.25">
      <c r="B56" s="68"/>
      <c r="C56" s="76" t="s">
        <v>70</v>
      </c>
      <c r="D56" s="162">
        <f>2400*3</f>
        <v>7200</v>
      </c>
      <c r="E56" s="162">
        <f>2400*3</f>
        <v>7200</v>
      </c>
      <c r="F56" s="162">
        <f>2400*3</f>
        <v>7200</v>
      </c>
      <c r="G56" s="162">
        <f>2400*3</f>
        <v>7200</v>
      </c>
      <c r="H56" s="162">
        <f>2400*3</f>
        <v>7200</v>
      </c>
      <c r="I56" s="154"/>
      <c r="J56" s="162">
        <f>SUM(D56:H56)</f>
        <v>36000</v>
      </c>
      <c r="K56" s="180"/>
    </row>
    <row r="57" spans="2:12" x14ac:dyDescent="0.25">
      <c r="B57" s="68"/>
      <c r="C57" s="69" t="s">
        <v>71</v>
      </c>
      <c r="D57" s="155"/>
      <c r="E57" s="155"/>
      <c r="F57" s="155"/>
      <c r="G57" s="155"/>
      <c r="H57" s="155"/>
      <c r="I57" s="154"/>
      <c r="J57" s="155"/>
    </row>
    <row r="58" spans="2:12" x14ac:dyDescent="0.25">
      <c r="B58" s="68"/>
      <c r="C58" s="69"/>
      <c r="D58" s="162">
        <v>52000000</v>
      </c>
      <c r="E58" s="163">
        <v>7000000</v>
      </c>
      <c r="F58" s="163">
        <v>7000000</v>
      </c>
      <c r="G58" s="163">
        <v>7000000</v>
      </c>
      <c r="H58" s="163">
        <v>7000000</v>
      </c>
      <c r="I58" s="154"/>
      <c r="J58" s="162">
        <f>SUM(D58:H58)</f>
        <v>80000000</v>
      </c>
    </row>
    <row r="59" spans="2:12" ht="45" x14ac:dyDescent="0.25">
      <c r="B59" s="68"/>
      <c r="C59" s="69" t="s">
        <v>72</v>
      </c>
      <c r="D59" s="162">
        <f>ROUND((D39+D40+D41+D42+D43+D44+D45)*0.352,0)</f>
        <v>24341</v>
      </c>
      <c r="E59" s="162">
        <f>ROUNDDOWN((E39+E40+E41+E42+E43+E44+E45)*0.352,0)</f>
        <v>24340</v>
      </c>
      <c r="F59" s="162">
        <f t="shared" ref="F59:G59" si="15">ROUND((F39+F40+F41+F42+F43+F44+F45)*0.352,0)</f>
        <v>24341</v>
      </c>
      <c r="G59" s="162">
        <f t="shared" si="15"/>
        <v>24341</v>
      </c>
      <c r="H59" s="162">
        <f>ROUND((H39+H40+H41+H42+H43+H44+H45)*0.352,0)</f>
        <v>24341</v>
      </c>
      <c r="I59" s="154"/>
      <c r="J59" s="162">
        <f>SUM(D59:H59)</f>
        <v>121704</v>
      </c>
    </row>
    <row r="60" spans="2:12" x14ac:dyDescent="0.25">
      <c r="B60" s="78"/>
      <c r="C60" s="72" t="s">
        <v>18</v>
      </c>
      <c r="D60" s="153">
        <f>SUM(D39:D59)</f>
        <v>52140900</v>
      </c>
      <c r="E60" s="153">
        <f t="shared" ref="E60:H60" si="16">SUM(E39:E59)</f>
        <v>7140897</v>
      </c>
      <c r="F60" s="153">
        <f t="shared" si="16"/>
        <v>7140897</v>
      </c>
      <c r="G60" s="153">
        <f t="shared" si="16"/>
        <v>7140895</v>
      </c>
      <c r="H60" s="153">
        <f t="shared" si="16"/>
        <v>7140895</v>
      </c>
      <c r="I60" s="154"/>
      <c r="J60" s="153">
        <f>SUM(D60:H60)</f>
        <v>80704484</v>
      </c>
      <c r="K60" s="180"/>
    </row>
    <row r="61" spans="2:12" x14ac:dyDescent="0.25">
      <c r="B61" s="78"/>
      <c r="C61" s="72" t="s">
        <v>19</v>
      </c>
      <c r="D61" s="153">
        <f>SUM(D12,D15,D18,D21,D24,D35,D60)</f>
        <v>52156600</v>
      </c>
      <c r="E61" s="153">
        <f t="shared" ref="E61:H61" si="17">SUM(E12,E15,E18,E21,E24,E35,E60)</f>
        <v>7156597</v>
      </c>
      <c r="F61" s="153">
        <f t="shared" si="17"/>
        <v>7155127</v>
      </c>
      <c r="G61" s="153">
        <f t="shared" si="17"/>
        <v>7155125</v>
      </c>
      <c r="H61" s="153">
        <f t="shared" si="17"/>
        <v>7156828</v>
      </c>
      <c r="I61" s="154"/>
      <c r="J61" s="153">
        <f>SUM(D61:H61)</f>
        <v>80780277</v>
      </c>
    </row>
    <row r="62" spans="2:12" x14ac:dyDescent="0.25">
      <c r="B62" s="54"/>
      <c r="D62" s="154"/>
      <c r="E62" s="154"/>
      <c r="F62" s="154"/>
      <c r="G62" s="154"/>
      <c r="H62" s="154"/>
      <c r="I62" s="154"/>
      <c r="J62" s="154" t="s">
        <v>20</v>
      </c>
    </row>
    <row r="63" spans="2:12" ht="30" x14ac:dyDescent="0.25">
      <c r="B63" s="64" t="s">
        <v>73</v>
      </c>
      <c r="C63" s="79" t="s">
        <v>73</v>
      </c>
      <c r="D63" s="155"/>
      <c r="E63" s="155"/>
      <c r="F63" s="155"/>
      <c r="G63" s="155"/>
      <c r="H63" s="155"/>
      <c r="I63" s="154"/>
      <c r="J63" s="155" t="s">
        <v>20</v>
      </c>
    </row>
    <row r="64" spans="2:12" ht="45" x14ac:dyDescent="0.25">
      <c r="B64" s="68"/>
      <c r="C64" s="83" t="s">
        <v>74</v>
      </c>
      <c r="D64" s="162">
        <f>D12*0.385</f>
        <v>3850</v>
      </c>
      <c r="E64" s="162">
        <f t="shared" ref="E64:H64" si="18">E12*0.385</f>
        <v>3850</v>
      </c>
      <c r="F64" s="162">
        <f t="shared" si="18"/>
        <v>3465</v>
      </c>
      <c r="G64" s="162">
        <f t="shared" si="18"/>
        <v>3465</v>
      </c>
      <c r="H64" s="162">
        <f t="shared" si="18"/>
        <v>3850</v>
      </c>
      <c r="I64" s="154"/>
      <c r="J64" s="162">
        <f>SUM(D64:H64)</f>
        <v>18480</v>
      </c>
      <c r="K64"/>
    </row>
    <row r="65" spans="2:13" x14ac:dyDescent="0.25">
      <c r="B65" s="78"/>
      <c r="C65" s="72" t="s">
        <v>21</v>
      </c>
      <c r="D65" s="153">
        <f>SUM(D64:D64)</f>
        <v>3850</v>
      </c>
      <c r="E65" s="153">
        <f>SUM(E64:E64)</f>
        <v>3850</v>
      </c>
      <c r="F65" s="153">
        <f>SUM(F64:F64)</f>
        <v>3465</v>
      </c>
      <c r="G65" s="153">
        <f>SUM(G64:G64)</f>
        <v>3465</v>
      </c>
      <c r="H65" s="153">
        <f>SUM(H64:H64)</f>
        <v>3850</v>
      </c>
      <c r="I65" s="154"/>
      <c r="J65" s="153">
        <f>SUM(J64:J64)</f>
        <v>18480</v>
      </c>
      <c r="K65"/>
    </row>
    <row r="66" spans="2:13" x14ac:dyDescent="0.25">
      <c r="B66" s="54"/>
      <c r="D66" s="154"/>
      <c r="E66" s="154"/>
      <c r="F66" s="154"/>
      <c r="G66" s="154"/>
      <c r="H66" s="154"/>
      <c r="I66" s="154"/>
      <c r="J66" s="154" t="s">
        <v>20</v>
      </c>
      <c r="K66"/>
    </row>
    <row r="67" spans="2:13" s="82" customFormat="1" ht="30.75" thickBot="1" x14ac:dyDescent="0.3">
      <c r="B67" s="80" t="s">
        <v>22</v>
      </c>
      <c r="C67" s="80"/>
      <c r="D67" s="165">
        <f>SUM(D65,D61)</f>
        <v>52160450</v>
      </c>
      <c r="E67" s="165">
        <f>SUM(E65,E61)</f>
        <v>7160447</v>
      </c>
      <c r="F67" s="165">
        <f>SUM(F65,F61)</f>
        <v>7158592</v>
      </c>
      <c r="G67" s="165">
        <f>SUM(G65,G61)</f>
        <v>7158590</v>
      </c>
      <c r="H67" s="165">
        <f>SUM(H65,H61)</f>
        <v>7160678</v>
      </c>
      <c r="I67" s="154"/>
      <c r="J67" s="165">
        <f>SUM(J65,J61)</f>
        <v>80798757</v>
      </c>
      <c r="K67"/>
      <c r="L67" s="178"/>
      <c r="M67" s="178"/>
    </row>
    <row r="68" spans="2:13" x14ac:dyDescent="0.25">
      <c r="B68" s="54"/>
      <c r="D68"/>
      <c r="E68"/>
      <c r="F68"/>
      <c r="G68"/>
      <c r="H68"/>
      <c r="I68"/>
      <c r="J68"/>
      <c r="K68"/>
    </row>
    <row r="69" spans="2:13" x14ac:dyDescent="0.25">
      <c r="B69" s="54"/>
      <c r="K69"/>
    </row>
    <row r="70" spans="2:13" hidden="1" x14ac:dyDescent="0.25">
      <c r="B70" s="54"/>
      <c r="D70" s="169">
        <f>D61+D65</f>
        <v>52160450</v>
      </c>
      <c r="E70" s="169">
        <f t="shared" ref="E70:H70" si="19">E61+E65</f>
        <v>7160447</v>
      </c>
      <c r="F70" s="169">
        <f t="shared" si="19"/>
        <v>7158592</v>
      </c>
      <c r="G70" s="169">
        <f t="shared" si="19"/>
        <v>7158590</v>
      </c>
      <c r="H70" s="169">
        <f t="shared" si="19"/>
        <v>7160678</v>
      </c>
      <c r="I70" s="169">
        <f>I61+I65</f>
        <v>0</v>
      </c>
      <c r="J70" s="169">
        <f t="shared" ref="J70" si="20">J61+J65</f>
        <v>80798757</v>
      </c>
    </row>
    <row r="71" spans="2:13" hidden="1" x14ac:dyDescent="0.25">
      <c r="B71" s="54"/>
      <c r="D71" s="169">
        <f>D70-D67</f>
        <v>0</v>
      </c>
      <c r="E71" s="169">
        <f t="shared" ref="E71:H71" si="21">E70-E67</f>
        <v>0</v>
      </c>
      <c r="F71" s="169">
        <f t="shared" si="21"/>
        <v>0</v>
      </c>
      <c r="G71" s="169">
        <f t="shared" si="21"/>
        <v>0</v>
      </c>
      <c r="H71" s="169">
        <f t="shared" si="21"/>
        <v>0</v>
      </c>
      <c r="I71" s="169">
        <f>I70-I67</f>
        <v>0</v>
      </c>
      <c r="J71" s="169">
        <f t="shared" ref="J71" si="22">J70-J67</f>
        <v>0</v>
      </c>
    </row>
    <row r="72" spans="2:13" hidden="1" x14ac:dyDescent="0.25">
      <c r="B72" s="54"/>
    </row>
    <row r="73" spans="2:13" hidden="1" x14ac:dyDescent="0.25">
      <c r="B73" s="54"/>
      <c r="D73" s="169">
        <f>D60+D35+D24+D21+D18+D15+D12</f>
        <v>52156600</v>
      </c>
      <c r="E73" s="169">
        <f t="shared" ref="E73:J73" si="23">E60+E35+E24+E21+E18+E15+E12</f>
        <v>7156597</v>
      </c>
      <c r="F73" s="169">
        <f t="shared" si="23"/>
        <v>7155127</v>
      </c>
      <c r="G73" s="169">
        <f t="shared" si="23"/>
        <v>7155125</v>
      </c>
      <c r="H73" s="169">
        <f t="shared" si="23"/>
        <v>7156828</v>
      </c>
      <c r="I73" s="169">
        <f t="shared" si="23"/>
        <v>0</v>
      </c>
      <c r="J73" s="169">
        <f t="shared" si="23"/>
        <v>80780277</v>
      </c>
    </row>
    <row r="74" spans="2:13" hidden="1" x14ac:dyDescent="0.25">
      <c r="B74" s="54"/>
      <c r="D74" s="169">
        <f>D73-D61</f>
        <v>0</v>
      </c>
      <c r="E74" s="169">
        <f t="shared" ref="E74:J74" si="24">E73-E61</f>
        <v>0</v>
      </c>
      <c r="F74" s="169">
        <f t="shared" si="24"/>
        <v>0</v>
      </c>
      <c r="G74" s="169">
        <f t="shared" si="24"/>
        <v>0</v>
      </c>
      <c r="H74" s="169">
        <f t="shared" si="24"/>
        <v>0</v>
      </c>
      <c r="I74" s="169">
        <f t="shared" si="24"/>
        <v>0</v>
      </c>
      <c r="J74" s="169">
        <f t="shared" si="24"/>
        <v>0</v>
      </c>
    </row>
    <row r="75" spans="2:13" hidden="1" x14ac:dyDescent="0.25">
      <c r="B75" s="54"/>
    </row>
    <row r="76" spans="2:13" hidden="1" x14ac:dyDescent="0.25">
      <c r="B76" s="54"/>
    </row>
    <row r="77" spans="2:13" hidden="1" x14ac:dyDescent="0.25">
      <c r="B77" s="54"/>
    </row>
    <row r="78" spans="2:13" hidden="1" x14ac:dyDescent="0.25">
      <c r="B78" s="54"/>
      <c r="J78" s="154">
        <f>J60+J68</f>
        <v>80704484</v>
      </c>
    </row>
    <row r="79" spans="2:13" hidden="1" x14ac:dyDescent="0.25">
      <c r="B79" s="54"/>
    </row>
    <row r="80" spans="2:13" x14ac:dyDescent="0.25">
      <c r="B80" s="54"/>
    </row>
    <row r="81" spans="2:2" x14ac:dyDescent="0.25">
      <c r="B81" s="54"/>
    </row>
    <row r="82" spans="2:2" x14ac:dyDescent="0.25">
      <c r="B82" s="54"/>
    </row>
  </sheetData>
  <mergeCells count="1">
    <mergeCell ref="B2:F2"/>
  </mergeCells>
  <pageMargins left="0.7" right="0.7" top="0.75" bottom="0.75" header="0.3" footer="0.3"/>
  <pageSetup scale="97" fitToHeight="0" orientation="landscape" r:id="rId1"/>
  <ignoredErrors>
    <ignoredError sqref="J31:J33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58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K11" sqref="K11"/>
    </sheetView>
  </sheetViews>
  <sheetFormatPr defaultColWidth="9.28515625" defaultRowHeight="15" x14ac:dyDescent="0.25"/>
  <cols>
    <col min="1" max="1" width="3.28515625" style="53" customWidth="1"/>
    <col min="2" max="2" width="11.7109375" style="53" customWidth="1"/>
    <col min="3" max="3" width="46.5703125" style="53" customWidth="1"/>
    <col min="4" max="4" width="14.140625" style="54" bestFit="1" customWidth="1"/>
    <col min="5" max="5" width="14.140625" style="55" bestFit="1" customWidth="1"/>
    <col min="6" max="7" width="14.140625" style="53" bestFit="1" customWidth="1"/>
    <col min="8" max="8" width="13.42578125" style="55" customWidth="1"/>
    <col min="9" max="9" width="0.7109375" style="53" customWidth="1"/>
    <col min="10" max="10" width="14.42578125" style="53" customWidth="1"/>
    <col min="11" max="11" width="11.7109375" style="177" bestFit="1" customWidth="1"/>
    <col min="12" max="12" width="12.85546875" style="149" bestFit="1" customWidth="1"/>
    <col min="13" max="14" width="9.28515625" style="149"/>
    <col min="15" max="16384" width="9.28515625" style="53"/>
  </cols>
  <sheetData>
    <row r="2" spans="2:39" ht="23.25" x14ac:dyDescent="0.35">
      <c r="B2" s="197" t="s">
        <v>75</v>
      </c>
      <c r="C2" s="197"/>
      <c r="D2" s="197"/>
      <c r="E2" s="197"/>
      <c r="F2" s="197"/>
      <c r="G2" s="197"/>
      <c r="H2" s="184"/>
    </row>
    <row r="3" spans="2:39" x14ac:dyDescent="0.25">
      <c r="B3" s="198" t="s">
        <v>35</v>
      </c>
      <c r="C3" s="198"/>
      <c r="D3" s="198"/>
      <c r="E3" s="198"/>
      <c r="F3" s="198"/>
      <c r="G3" s="198"/>
      <c r="H3" s="184"/>
    </row>
    <row r="4" spans="2:39" x14ac:dyDescent="0.25">
      <c r="B4" s="50"/>
    </row>
    <row r="5" spans="2:39" ht="18.75" x14ac:dyDescent="0.3">
      <c r="B5" s="56" t="s">
        <v>2</v>
      </c>
      <c r="C5" s="57"/>
      <c r="D5" s="57"/>
      <c r="E5" s="57"/>
      <c r="F5" s="57"/>
      <c r="G5" s="57"/>
      <c r="H5" s="57"/>
      <c r="I5" s="57"/>
      <c r="J5" s="58"/>
    </row>
    <row r="6" spans="2:39" x14ac:dyDescent="0.25">
      <c r="B6" s="59" t="s">
        <v>3</v>
      </c>
      <c r="C6" s="59" t="s">
        <v>4</v>
      </c>
      <c r="D6" s="59" t="s">
        <v>5</v>
      </c>
      <c r="E6" s="60" t="s">
        <v>6</v>
      </c>
      <c r="F6" s="60" t="s">
        <v>7</v>
      </c>
      <c r="G6" s="60" t="s">
        <v>8</v>
      </c>
      <c r="H6" s="61" t="s">
        <v>9</v>
      </c>
      <c r="I6" s="62"/>
      <c r="J6" s="63" t="s">
        <v>10</v>
      </c>
    </row>
    <row r="7" spans="2:39" s="50" customFormat="1" x14ac:dyDescent="0.25">
      <c r="B7" s="141" t="s">
        <v>11</v>
      </c>
      <c r="C7" s="65" t="s">
        <v>36</v>
      </c>
      <c r="D7" s="66" t="s">
        <v>37</v>
      </c>
      <c r="E7" s="66" t="s">
        <v>37</v>
      </c>
      <c r="F7" s="66" t="s">
        <v>37</v>
      </c>
      <c r="G7" s="66"/>
      <c r="H7" s="66" t="s">
        <v>37</v>
      </c>
      <c r="I7" s="53"/>
      <c r="J7" s="67" t="s">
        <v>37</v>
      </c>
      <c r="K7"/>
      <c r="L7" s="149"/>
      <c r="M7" s="149"/>
      <c r="N7" s="149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</row>
    <row r="8" spans="2:39" x14ac:dyDescent="0.25">
      <c r="B8" s="68"/>
      <c r="C8" s="69" t="s">
        <v>38</v>
      </c>
      <c r="D8" s="160">
        <v>1000</v>
      </c>
      <c r="E8" s="160">
        <v>1000</v>
      </c>
      <c r="F8" s="160">
        <v>1000</v>
      </c>
      <c r="G8" s="160">
        <v>1000</v>
      </c>
      <c r="H8" s="160">
        <v>1000</v>
      </c>
      <c r="I8" s="154"/>
      <c r="J8" s="155">
        <f>SUM(D8:H8)</f>
        <v>5000</v>
      </c>
      <c r="K8"/>
    </row>
    <row r="9" spans="2:39" x14ac:dyDescent="0.25">
      <c r="B9" s="68"/>
      <c r="C9" s="69" t="s">
        <v>39</v>
      </c>
      <c r="D9" s="160">
        <v>1000</v>
      </c>
      <c r="E9" s="160">
        <v>1000</v>
      </c>
      <c r="F9" s="160">
        <v>1000</v>
      </c>
      <c r="G9" s="160">
        <v>1000</v>
      </c>
      <c r="H9" s="160">
        <v>1000</v>
      </c>
      <c r="I9" s="154"/>
      <c r="J9" s="155">
        <f t="shared" ref="J9:J12" si="0">SUM(D9:H9)</f>
        <v>5000</v>
      </c>
      <c r="K9"/>
    </row>
    <row r="10" spans="2:39" x14ac:dyDescent="0.25">
      <c r="B10" s="68"/>
      <c r="C10" s="69" t="s">
        <v>40</v>
      </c>
      <c r="D10" s="160">
        <v>1000</v>
      </c>
      <c r="E10" s="160">
        <v>1000</v>
      </c>
      <c r="F10" s="160">
        <v>1000</v>
      </c>
      <c r="G10" s="160">
        <v>1000</v>
      </c>
      <c r="H10" s="160">
        <v>1000</v>
      </c>
      <c r="I10" s="154"/>
      <c r="J10" s="155">
        <f t="shared" si="0"/>
        <v>5000</v>
      </c>
      <c r="K10"/>
    </row>
    <row r="11" spans="2:39" x14ac:dyDescent="0.25">
      <c r="B11" s="68"/>
      <c r="C11" s="69" t="s">
        <v>41</v>
      </c>
      <c r="D11" s="160">
        <v>0</v>
      </c>
      <c r="E11" s="160">
        <v>0</v>
      </c>
      <c r="F11" s="160">
        <v>0</v>
      </c>
      <c r="G11" s="160">
        <v>0</v>
      </c>
      <c r="H11" s="160">
        <v>0</v>
      </c>
      <c r="I11" s="154"/>
      <c r="J11" s="155">
        <f t="shared" si="0"/>
        <v>0</v>
      </c>
      <c r="K11"/>
    </row>
    <row r="12" spans="2:39" ht="33.75" customHeight="1" x14ac:dyDescent="0.25">
      <c r="B12" s="68"/>
      <c r="C12" s="69" t="s">
        <v>76</v>
      </c>
      <c r="D12" s="155">
        <v>70000</v>
      </c>
      <c r="E12" s="155">
        <v>70000</v>
      </c>
      <c r="F12" s="155">
        <v>70000</v>
      </c>
      <c r="G12" s="155">
        <v>70000</v>
      </c>
      <c r="H12" s="155">
        <v>70000</v>
      </c>
      <c r="I12" s="154"/>
      <c r="J12" s="155">
        <f t="shared" si="0"/>
        <v>350000</v>
      </c>
      <c r="K12"/>
    </row>
    <row r="13" spans="2:39" x14ac:dyDescent="0.25">
      <c r="B13" s="68"/>
      <c r="C13" s="72" t="s">
        <v>12</v>
      </c>
      <c r="D13" s="153">
        <f>SUM(D8:D12)</f>
        <v>73000</v>
      </c>
      <c r="E13" s="153">
        <f t="shared" ref="E13:J13" si="1">SUM(E8:E12)</f>
        <v>73000</v>
      </c>
      <c r="F13" s="153">
        <f t="shared" si="1"/>
        <v>73000</v>
      </c>
      <c r="G13" s="153">
        <f t="shared" si="1"/>
        <v>73000</v>
      </c>
      <c r="H13" s="153">
        <f t="shared" si="1"/>
        <v>73000</v>
      </c>
      <c r="I13" s="154"/>
      <c r="J13" s="153">
        <f t="shared" si="1"/>
        <v>365000</v>
      </c>
      <c r="K13"/>
    </row>
    <row r="14" spans="2:39" x14ac:dyDescent="0.25">
      <c r="B14" s="68"/>
      <c r="C14" s="74" t="s">
        <v>42</v>
      </c>
      <c r="D14" s="162" t="s">
        <v>37</v>
      </c>
      <c r="E14" s="163"/>
      <c r="F14" s="163"/>
      <c r="G14" s="163"/>
      <c r="H14" s="163"/>
      <c r="I14" s="154"/>
      <c r="J14" s="155" t="s">
        <v>37</v>
      </c>
      <c r="K14"/>
      <c r="L14"/>
      <c r="M14"/>
    </row>
    <row r="15" spans="2:39" x14ac:dyDescent="0.25">
      <c r="B15" s="68"/>
      <c r="C15" s="69" t="s">
        <v>43</v>
      </c>
      <c r="D15" s="162">
        <f>D13*0.47</f>
        <v>34310</v>
      </c>
      <c r="E15" s="162">
        <f t="shared" ref="E15:H15" si="2">E13*0.47</f>
        <v>34310</v>
      </c>
      <c r="F15" s="162">
        <f t="shared" si="2"/>
        <v>34310</v>
      </c>
      <c r="G15" s="162">
        <f t="shared" si="2"/>
        <v>34310</v>
      </c>
      <c r="H15" s="162">
        <f t="shared" si="2"/>
        <v>34310</v>
      </c>
      <c r="I15" s="154"/>
      <c r="J15" s="155">
        <f>SUM(D15:H15)</f>
        <v>171550</v>
      </c>
      <c r="K15"/>
      <c r="L15"/>
      <c r="M15"/>
    </row>
    <row r="16" spans="2:39" x14ac:dyDescent="0.25">
      <c r="B16" s="68"/>
      <c r="C16" s="72" t="s">
        <v>13</v>
      </c>
      <c r="D16" s="153">
        <f>SUM(D15:D15)</f>
        <v>34310</v>
      </c>
      <c r="E16" s="153">
        <f t="shared" ref="E16:H16" si="3">SUM(E15:E15)</f>
        <v>34310</v>
      </c>
      <c r="F16" s="153">
        <f t="shared" si="3"/>
        <v>34310</v>
      </c>
      <c r="G16" s="153">
        <f t="shared" si="3"/>
        <v>34310</v>
      </c>
      <c r="H16" s="153">
        <f t="shared" si="3"/>
        <v>34310</v>
      </c>
      <c r="I16" s="154"/>
      <c r="J16" s="153">
        <f>SUM(D16:H16)</f>
        <v>171550</v>
      </c>
      <c r="K16"/>
      <c r="L16"/>
      <c r="M16"/>
    </row>
    <row r="17" spans="2:12" x14ac:dyDescent="0.25">
      <c r="B17" s="68"/>
      <c r="C17" s="74" t="s">
        <v>44</v>
      </c>
      <c r="D17" s="162"/>
      <c r="E17" s="163"/>
      <c r="F17" s="163"/>
      <c r="G17" s="163"/>
      <c r="H17" s="163"/>
      <c r="I17" s="154"/>
      <c r="J17" s="155">
        <f t="shared" ref="J17" si="4">SUM(D17:H17)</f>
        <v>0</v>
      </c>
    </row>
    <row r="18" spans="2:12" ht="45" x14ac:dyDescent="0.25">
      <c r="B18" s="68"/>
      <c r="C18" s="185" t="s">
        <v>77</v>
      </c>
      <c r="D18" s="162">
        <f>ROUND(1000+(1478/5),0)</f>
        <v>1296</v>
      </c>
      <c r="E18" s="162">
        <f>ROUND(1000+(1478/5),0)</f>
        <v>1296</v>
      </c>
      <c r="F18" s="162">
        <f>ROUND(1000+(1478/5),0)</f>
        <v>1296</v>
      </c>
      <c r="G18" s="162">
        <f>ROUNDDOWN(1000+(1478/5),0)</f>
        <v>1295</v>
      </c>
      <c r="H18" s="162">
        <f>ROUNDDOWN(1000+(1478/5),0)</f>
        <v>1295</v>
      </c>
      <c r="I18" s="154"/>
      <c r="J18" s="155">
        <f>SUM(D18:H18)</f>
        <v>6478</v>
      </c>
      <c r="L18" s="175"/>
    </row>
    <row r="19" spans="2:12" x14ac:dyDescent="0.25">
      <c r="B19" s="68"/>
      <c r="C19" s="72" t="s">
        <v>14</v>
      </c>
      <c r="D19" s="153">
        <f>SUM(D18)</f>
        <v>1296</v>
      </c>
      <c r="E19" s="153">
        <f>SUM(E18)</f>
        <v>1296</v>
      </c>
      <c r="F19" s="153">
        <f>SUM(F18)</f>
        <v>1296</v>
      </c>
      <c r="G19" s="153">
        <f>SUM(G18)</f>
        <v>1295</v>
      </c>
      <c r="H19" s="153">
        <f>SUM(H18)</f>
        <v>1295</v>
      </c>
      <c r="I19" s="154"/>
      <c r="J19" s="153">
        <f>SUM(J18)</f>
        <v>6478</v>
      </c>
    </row>
    <row r="20" spans="2:12" x14ac:dyDescent="0.25">
      <c r="B20" s="68"/>
      <c r="C20" s="74" t="s">
        <v>46</v>
      </c>
      <c r="D20" s="162"/>
      <c r="E20" s="163"/>
      <c r="F20" s="163"/>
      <c r="G20" s="163"/>
      <c r="H20" s="163"/>
      <c r="I20" s="154"/>
      <c r="J20" s="162" t="s">
        <v>20</v>
      </c>
    </row>
    <row r="21" spans="2:12" x14ac:dyDescent="0.25">
      <c r="B21" s="68"/>
      <c r="C21" s="75" t="s">
        <v>47</v>
      </c>
      <c r="D21" s="163">
        <v>0</v>
      </c>
      <c r="E21" s="163">
        <v>0</v>
      </c>
      <c r="F21" s="163">
        <v>0</v>
      </c>
      <c r="G21" s="163">
        <v>0</v>
      </c>
      <c r="H21" s="163">
        <v>0</v>
      </c>
      <c r="I21" s="154"/>
      <c r="J21" s="162">
        <f>SUM(D21:I21)</f>
        <v>0</v>
      </c>
    </row>
    <row r="22" spans="2:12" x14ac:dyDescent="0.25">
      <c r="B22" s="68"/>
      <c r="C22" s="72" t="s">
        <v>15</v>
      </c>
      <c r="D22" s="164">
        <f>SUM(D21:D21)</f>
        <v>0</v>
      </c>
      <c r="E22" s="164">
        <f>SUM(E21:E21)</f>
        <v>0</v>
      </c>
      <c r="F22" s="164">
        <f>SUM(F21:F21)</f>
        <v>0</v>
      </c>
      <c r="G22" s="164">
        <f>SUM(G21:G21)</f>
        <v>0</v>
      </c>
      <c r="H22" s="164">
        <f>SUM(H21:H21)</f>
        <v>0</v>
      </c>
      <c r="I22" s="154"/>
      <c r="J22" s="153">
        <f>SUM(J21:J21)</f>
        <v>0</v>
      </c>
    </row>
    <row r="23" spans="2:12" x14ac:dyDescent="0.25">
      <c r="B23" s="68"/>
      <c r="C23" s="74" t="s">
        <v>48</v>
      </c>
      <c r="D23" s="162" t="s">
        <v>37</v>
      </c>
      <c r="E23" s="163"/>
      <c r="F23" s="163"/>
      <c r="G23" s="163"/>
      <c r="H23" s="163"/>
      <c r="I23" s="154"/>
      <c r="J23" s="162"/>
    </row>
    <row r="24" spans="2:12" x14ac:dyDescent="0.25">
      <c r="B24" s="68"/>
      <c r="C24" s="69"/>
      <c r="D24" s="163">
        <v>0</v>
      </c>
      <c r="E24" s="163">
        <v>0</v>
      </c>
      <c r="F24" s="163">
        <v>0</v>
      </c>
      <c r="G24" s="163">
        <v>0</v>
      </c>
      <c r="H24" s="163">
        <v>0</v>
      </c>
      <c r="I24" s="154"/>
      <c r="J24" s="162">
        <f>SUM(D24:I24)</f>
        <v>0</v>
      </c>
    </row>
    <row r="25" spans="2:12" x14ac:dyDescent="0.25">
      <c r="B25" s="68"/>
      <c r="C25" s="72" t="s">
        <v>16</v>
      </c>
      <c r="D25" s="153">
        <f>SUM(D24:D24)</f>
        <v>0</v>
      </c>
      <c r="E25" s="153">
        <f>SUM(E24:E24)</f>
        <v>0</v>
      </c>
      <c r="F25" s="153">
        <f>SUM(F24:F24)</f>
        <v>0</v>
      </c>
      <c r="G25" s="153">
        <f>SUM(G24:G24)</f>
        <v>0</v>
      </c>
      <c r="H25" s="153">
        <f>SUM(H24:H24)</f>
        <v>0</v>
      </c>
      <c r="I25" s="154"/>
      <c r="J25" s="153">
        <f>SUM(J24:J24)</f>
        <v>0</v>
      </c>
    </row>
    <row r="26" spans="2:12" x14ac:dyDescent="0.25">
      <c r="B26" s="68"/>
      <c r="C26" s="74" t="s">
        <v>49</v>
      </c>
      <c r="D26" s="75" t="s">
        <v>37</v>
      </c>
      <c r="E26" s="66"/>
      <c r="F26" s="66"/>
      <c r="G26" s="66"/>
      <c r="H26" s="66"/>
      <c r="J26" s="70"/>
    </row>
    <row r="27" spans="2:12" x14ac:dyDescent="0.25">
      <c r="B27" s="68"/>
      <c r="C27" s="69"/>
      <c r="D27" s="163">
        <v>0</v>
      </c>
      <c r="E27" s="163">
        <v>0</v>
      </c>
      <c r="F27" s="163">
        <v>0</v>
      </c>
      <c r="G27" s="163">
        <v>0</v>
      </c>
      <c r="H27" s="163">
        <v>0</v>
      </c>
      <c r="I27" s="154"/>
      <c r="J27" s="162">
        <f>SUM(D27:I27)</f>
        <v>0</v>
      </c>
    </row>
    <row r="28" spans="2:12" x14ac:dyDescent="0.25">
      <c r="B28" s="68"/>
      <c r="C28" s="72" t="s">
        <v>17</v>
      </c>
      <c r="D28" s="73">
        <f>SUM(D27)</f>
        <v>0</v>
      </c>
      <c r="E28" s="73">
        <f t="shared" ref="E28:H28" si="5">SUM(E27)</f>
        <v>0</v>
      </c>
      <c r="F28" s="73">
        <f t="shared" si="5"/>
        <v>0</v>
      </c>
      <c r="G28" s="73">
        <f t="shared" si="5"/>
        <v>0</v>
      </c>
      <c r="H28" s="73">
        <f t="shared" si="5"/>
        <v>0</v>
      </c>
      <c r="J28" s="73">
        <f>SUM(J27:J27)</f>
        <v>0</v>
      </c>
    </row>
    <row r="29" spans="2:12" x14ac:dyDescent="0.25">
      <c r="B29" s="68"/>
      <c r="C29" s="74" t="s">
        <v>50</v>
      </c>
      <c r="D29" s="75" t="s">
        <v>37</v>
      </c>
      <c r="E29" s="66"/>
      <c r="F29" s="66"/>
      <c r="G29" s="66"/>
      <c r="H29" s="66"/>
      <c r="J29" s="70"/>
    </row>
    <row r="30" spans="2:12" x14ac:dyDescent="0.25">
      <c r="B30" s="68"/>
      <c r="C30" s="69" t="s">
        <v>78</v>
      </c>
      <c r="D30" s="70">
        <f>ROUNDUP(8897757/5,0)</f>
        <v>1779552</v>
      </c>
      <c r="E30" s="70">
        <f t="shared" ref="E30" si="6">ROUNDUP(8897757/5,0)</f>
        <v>1779552</v>
      </c>
      <c r="F30" s="70">
        <f>ROUND(8897757/5,0)</f>
        <v>1779551</v>
      </c>
      <c r="G30" s="70">
        <f>ROUND(8897757/5,0)</f>
        <v>1779551</v>
      </c>
      <c r="H30" s="70">
        <f>ROUND(8897757/5,0)</f>
        <v>1779551</v>
      </c>
      <c r="I30" s="77">
        <v>375000</v>
      </c>
      <c r="J30" s="70">
        <f>SUM(D30:H30)</f>
        <v>8897757</v>
      </c>
    </row>
    <row r="31" spans="2:12" hidden="1" x14ac:dyDescent="0.25">
      <c r="B31" s="68"/>
      <c r="C31" s="69"/>
      <c r="D31" s="70"/>
      <c r="E31" s="70"/>
      <c r="F31" s="70"/>
      <c r="G31" s="70"/>
      <c r="H31" s="70"/>
      <c r="I31" s="77">
        <v>781250</v>
      </c>
      <c r="J31" s="70">
        <f t="shared" ref="J31:J35" si="7">SUM(D31:H31)</f>
        <v>0</v>
      </c>
    </row>
    <row r="32" spans="2:12" hidden="1" x14ac:dyDescent="0.25">
      <c r="B32" s="68"/>
      <c r="C32" s="69"/>
      <c r="D32" s="70"/>
      <c r="E32" s="70"/>
      <c r="F32" s="70"/>
      <c r="G32" s="70"/>
      <c r="H32" s="70"/>
      <c r="I32" s="77">
        <v>2083335</v>
      </c>
      <c r="J32" s="70">
        <f t="shared" si="7"/>
        <v>0</v>
      </c>
    </row>
    <row r="33" spans="2:14" hidden="1" x14ac:dyDescent="0.25">
      <c r="B33" s="68"/>
      <c r="C33" s="69"/>
      <c r="D33" s="70"/>
      <c r="E33" s="71"/>
      <c r="F33" s="71"/>
      <c r="G33" s="71"/>
      <c r="H33" s="71"/>
      <c r="I33" s="77"/>
      <c r="J33" s="70">
        <f t="shared" si="7"/>
        <v>0</v>
      </c>
    </row>
    <row r="34" spans="2:14" hidden="1" x14ac:dyDescent="0.25">
      <c r="B34" s="68"/>
      <c r="C34" s="69"/>
      <c r="D34" s="70"/>
      <c r="E34" s="71"/>
      <c r="F34" s="71"/>
      <c r="G34" s="71"/>
      <c r="H34" s="71"/>
      <c r="I34" s="77"/>
      <c r="J34" s="70">
        <f t="shared" si="7"/>
        <v>0</v>
      </c>
    </row>
    <row r="35" spans="2:14" hidden="1" x14ac:dyDescent="0.25">
      <c r="B35" s="68"/>
      <c r="C35" s="66"/>
      <c r="D35" s="70"/>
      <c r="E35" s="71"/>
      <c r="F35" s="71"/>
      <c r="G35" s="71"/>
      <c r="H35" s="71"/>
      <c r="I35" s="77"/>
      <c r="J35" s="70">
        <f t="shared" si="7"/>
        <v>0</v>
      </c>
    </row>
    <row r="36" spans="2:14" x14ac:dyDescent="0.25">
      <c r="B36" s="78"/>
      <c r="C36" s="72" t="s">
        <v>18</v>
      </c>
      <c r="D36" s="73">
        <f>SUM(D30:D35)</f>
        <v>1779552</v>
      </c>
      <c r="E36" s="73">
        <f t="shared" ref="E36:H36" si="8">SUM(E30:E35)</f>
        <v>1779552</v>
      </c>
      <c r="F36" s="73">
        <f t="shared" si="8"/>
        <v>1779551</v>
      </c>
      <c r="G36" s="73">
        <f t="shared" si="8"/>
        <v>1779551</v>
      </c>
      <c r="H36" s="73">
        <f t="shared" si="8"/>
        <v>1779551</v>
      </c>
      <c r="I36" s="77"/>
      <c r="J36" s="73">
        <f>SUM(D36:H36)</f>
        <v>8897757</v>
      </c>
    </row>
    <row r="37" spans="2:14" x14ac:dyDescent="0.25">
      <c r="B37" s="78"/>
      <c r="C37" s="72" t="s">
        <v>19</v>
      </c>
      <c r="D37" s="73">
        <f>SUM(D13,D16,D19,D22,D25,D28,D36)</f>
        <v>1888158</v>
      </c>
      <c r="E37" s="73">
        <f>SUM(E13,E16,E19,E22,E25,E28,E36)</f>
        <v>1888158</v>
      </c>
      <c r="F37" s="73">
        <f>SUM(F13,F16,F19,F22,F25,F28,F36)</f>
        <v>1888157</v>
      </c>
      <c r="G37" s="73">
        <f>SUM(G13,G16,G19,G22,G25,G28,G36)</f>
        <v>1888156</v>
      </c>
      <c r="H37" s="73">
        <f>SUM(H13,H16,H19,H22,H25,H28,H36)</f>
        <v>1888156</v>
      </c>
      <c r="J37" s="73">
        <f t="shared" ref="J37" si="9">SUM(D37:H37)</f>
        <v>9440785</v>
      </c>
    </row>
    <row r="38" spans="2:14" x14ac:dyDescent="0.25">
      <c r="B38" s="54"/>
      <c r="D38" s="53"/>
      <c r="E38" s="53"/>
      <c r="H38" s="53"/>
      <c r="J38" s="53" t="s">
        <v>20</v>
      </c>
    </row>
    <row r="39" spans="2:14" x14ac:dyDescent="0.25">
      <c r="B39" s="141" t="s">
        <v>73</v>
      </c>
      <c r="C39" s="79" t="s">
        <v>73</v>
      </c>
      <c r="D39" s="67"/>
      <c r="E39" s="67"/>
      <c r="F39" s="67"/>
      <c r="G39" s="67"/>
      <c r="H39" s="67"/>
      <c r="J39" s="67" t="s">
        <v>20</v>
      </c>
    </row>
    <row r="40" spans="2:14" ht="45" x14ac:dyDescent="0.25">
      <c r="B40" s="68"/>
      <c r="C40" s="83" t="s">
        <v>74</v>
      </c>
      <c r="D40" s="162">
        <f>D13*0.385</f>
        <v>28105</v>
      </c>
      <c r="E40" s="162">
        <f>E13*0.385</f>
        <v>28105</v>
      </c>
      <c r="F40" s="162">
        <f>F13*0.385</f>
        <v>28105</v>
      </c>
      <c r="G40" s="162">
        <f>G13*0.385</f>
        <v>28105</v>
      </c>
      <c r="H40" s="162">
        <f>H13*0.385</f>
        <v>28105</v>
      </c>
      <c r="I40" s="154"/>
      <c r="J40" s="162">
        <f>SUM(D40:H40)</f>
        <v>140525</v>
      </c>
      <c r="K40"/>
    </row>
    <row r="41" spans="2:14" x14ac:dyDescent="0.25">
      <c r="B41" s="78"/>
      <c r="C41" s="72" t="s">
        <v>21</v>
      </c>
      <c r="D41" s="73">
        <f>SUM(D40:D40)</f>
        <v>28105</v>
      </c>
      <c r="E41" s="73">
        <f>SUM(E40:E40)</f>
        <v>28105</v>
      </c>
      <c r="F41" s="73">
        <f>SUM(F40:F40)</f>
        <v>28105</v>
      </c>
      <c r="G41" s="73">
        <f>SUM(G40:G40)</f>
        <v>28105</v>
      </c>
      <c r="H41" s="73">
        <f>SUM(H40:H40)</f>
        <v>28105</v>
      </c>
      <c r="J41" s="73">
        <f t="shared" ref="J41" si="10">SUM(D41:H41)</f>
        <v>140525</v>
      </c>
      <c r="K41"/>
    </row>
    <row r="42" spans="2:14" x14ac:dyDescent="0.25">
      <c r="B42" s="54"/>
      <c r="D42" s="53"/>
      <c r="E42" s="53"/>
      <c r="H42" s="53"/>
      <c r="J42" s="53" t="s">
        <v>20</v>
      </c>
      <c r="K42"/>
    </row>
    <row r="43" spans="2:14" s="82" customFormat="1" ht="30.75" thickBot="1" x14ac:dyDescent="0.3">
      <c r="B43" s="80" t="s">
        <v>22</v>
      </c>
      <c r="C43" s="80"/>
      <c r="D43" s="81">
        <f t="shared" ref="D43:J43" si="11">SUM(D41,D37)</f>
        <v>1916263</v>
      </c>
      <c r="E43" s="81">
        <f t="shared" si="11"/>
        <v>1916263</v>
      </c>
      <c r="F43" s="81">
        <f t="shared" si="11"/>
        <v>1916262</v>
      </c>
      <c r="G43" s="81">
        <f t="shared" si="11"/>
        <v>1916261</v>
      </c>
      <c r="H43" s="81">
        <f t="shared" si="11"/>
        <v>1916261</v>
      </c>
      <c r="I43" s="53">
        <f t="shared" si="11"/>
        <v>0</v>
      </c>
      <c r="J43" s="81">
        <f t="shared" si="11"/>
        <v>9581310</v>
      </c>
      <c r="K43"/>
      <c r="L43" s="178"/>
      <c r="M43" s="178"/>
      <c r="N43" s="178"/>
    </row>
    <row r="44" spans="2:14" x14ac:dyDescent="0.25">
      <c r="B44" s="54"/>
      <c r="D44"/>
      <c r="E44"/>
      <c r="F44"/>
      <c r="G44"/>
      <c r="H44"/>
      <c r="I44"/>
      <c r="J44"/>
      <c r="K44"/>
    </row>
    <row r="45" spans="2:14" x14ac:dyDescent="0.25">
      <c r="B45" s="54"/>
      <c r="K45"/>
    </row>
    <row r="46" spans="2:14" x14ac:dyDescent="0.25">
      <c r="B46" s="54"/>
    </row>
    <row r="47" spans="2:14" hidden="1" x14ac:dyDescent="0.25">
      <c r="B47" s="54"/>
      <c r="D47" s="171">
        <f>D41+D37</f>
        <v>1916263</v>
      </c>
      <c r="E47" s="171">
        <f t="shared" ref="E47:J47" si="12">E41+E37</f>
        <v>1916263</v>
      </c>
      <c r="F47" s="171">
        <f t="shared" si="12"/>
        <v>1916262</v>
      </c>
      <c r="G47" s="171">
        <f t="shared" si="12"/>
        <v>1916261</v>
      </c>
      <c r="H47" s="171">
        <f t="shared" si="12"/>
        <v>1916261</v>
      </c>
      <c r="I47" s="171">
        <f t="shared" si="12"/>
        <v>0</v>
      </c>
      <c r="J47" s="171">
        <f t="shared" si="12"/>
        <v>9581310</v>
      </c>
    </row>
    <row r="48" spans="2:14" hidden="1" x14ac:dyDescent="0.25">
      <c r="B48" s="54"/>
      <c r="D48" s="171">
        <f>D47-D43</f>
        <v>0</v>
      </c>
      <c r="E48" s="171">
        <f t="shared" ref="E48:J48" si="13">E47-E43</f>
        <v>0</v>
      </c>
      <c r="F48" s="171">
        <f t="shared" si="13"/>
        <v>0</v>
      </c>
      <c r="G48" s="171">
        <f t="shared" si="13"/>
        <v>0</v>
      </c>
      <c r="H48" s="171">
        <f t="shared" si="13"/>
        <v>0</v>
      </c>
      <c r="I48" s="171">
        <f t="shared" si="13"/>
        <v>0</v>
      </c>
      <c r="J48" s="171">
        <f t="shared" si="13"/>
        <v>0</v>
      </c>
    </row>
    <row r="49" spans="2:10" hidden="1" x14ac:dyDescent="0.25">
      <c r="B49" s="54"/>
    </row>
    <row r="50" spans="2:10" hidden="1" x14ac:dyDescent="0.25">
      <c r="B50" s="54"/>
      <c r="D50" s="171">
        <f t="shared" ref="D50:J50" si="14">D36+D28+D25+D22+D19+D16+D13</f>
        <v>1888158</v>
      </c>
      <c r="E50" s="171">
        <f t="shared" si="14"/>
        <v>1888158</v>
      </c>
      <c r="F50" s="171">
        <f t="shared" si="14"/>
        <v>1888157</v>
      </c>
      <c r="G50" s="171">
        <f t="shared" si="14"/>
        <v>1888156</v>
      </c>
      <c r="H50" s="171">
        <f t="shared" si="14"/>
        <v>1888156</v>
      </c>
      <c r="I50" s="171">
        <f t="shared" si="14"/>
        <v>0</v>
      </c>
      <c r="J50" s="171">
        <f t="shared" si="14"/>
        <v>9440785</v>
      </c>
    </row>
    <row r="51" spans="2:10" hidden="1" x14ac:dyDescent="0.25">
      <c r="B51" s="54"/>
      <c r="D51" s="171">
        <f>D50-D37</f>
        <v>0</v>
      </c>
      <c r="E51" s="171">
        <f t="shared" ref="E51:J51" si="15">E50-E37</f>
        <v>0</v>
      </c>
      <c r="F51" s="171">
        <f t="shared" si="15"/>
        <v>0</v>
      </c>
      <c r="G51" s="171">
        <f t="shared" si="15"/>
        <v>0</v>
      </c>
      <c r="H51" s="171">
        <f t="shared" si="15"/>
        <v>0</v>
      </c>
      <c r="I51" s="171">
        <f t="shared" si="15"/>
        <v>0</v>
      </c>
      <c r="J51" s="171">
        <f t="shared" si="15"/>
        <v>0</v>
      </c>
    </row>
    <row r="52" spans="2:10" hidden="1" x14ac:dyDescent="0.25">
      <c r="B52" s="54"/>
    </row>
    <row r="53" spans="2:10" x14ac:dyDescent="0.25">
      <c r="B53" s="54"/>
    </row>
    <row r="54" spans="2:10" x14ac:dyDescent="0.25">
      <c r="B54" s="54"/>
    </row>
    <row r="55" spans="2:10" x14ac:dyDescent="0.25">
      <c r="B55" s="54"/>
    </row>
    <row r="56" spans="2:10" x14ac:dyDescent="0.25">
      <c r="B56" s="54"/>
    </row>
    <row r="57" spans="2:10" x14ac:dyDescent="0.25">
      <c r="B57" s="54"/>
    </row>
    <row r="58" spans="2:10" x14ac:dyDescent="0.25">
      <c r="B58" s="54"/>
    </row>
  </sheetData>
  <mergeCells count="2">
    <mergeCell ref="B2:G2"/>
    <mergeCell ref="B3:G3"/>
  </mergeCells>
  <pageMargins left="0.7" right="0.7" top="0.75" bottom="0.75" header="0.3" footer="0.3"/>
  <pageSetup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Q58"/>
  <sheetViews>
    <sheetView showGridLines="0" zoomScale="85" zoomScaleNormal="85" workbookViewId="0">
      <pane xSplit="3" ySplit="6" topLeftCell="D12" activePane="bottomRight" state="frozen"/>
      <selection pane="topRight" activeCell="R20" sqref="R20:W20"/>
      <selection pane="bottomLeft" activeCell="R20" sqref="R20:W20"/>
      <selection pane="bottomRight" activeCell="C18" sqref="C18"/>
    </sheetView>
  </sheetViews>
  <sheetFormatPr defaultColWidth="9.28515625" defaultRowHeight="15" x14ac:dyDescent="0.25"/>
  <cols>
    <col min="1" max="1" width="3.28515625" style="53" customWidth="1"/>
    <col min="2" max="2" width="11.7109375" style="53" customWidth="1"/>
    <col min="3" max="3" width="49.28515625" style="53" customWidth="1"/>
    <col min="4" max="4" width="14.140625" style="54" bestFit="1" customWidth="1"/>
    <col min="5" max="5" width="14.140625" style="55" bestFit="1" customWidth="1"/>
    <col min="6" max="6" width="14.140625" style="53" bestFit="1" customWidth="1"/>
    <col min="7" max="7" width="12.7109375" style="53" customWidth="1"/>
    <col min="8" max="8" width="13.42578125" style="55" customWidth="1"/>
    <col min="9" max="9" width="0.7109375" style="53" customWidth="1"/>
    <col min="10" max="10" width="14.42578125" style="53" customWidth="1"/>
    <col min="11" max="11" width="11.7109375" style="177" bestFit="1" customWidth="1"/>
    <col min="12" max="14" width="12.85546875" style="175" bestFit="1" customWidth="1"/>
    <col min="15" max="15" width="12.28515625" style="53" bestFit="1" customWidth="1"/>
    <col min="16" max="16" width="9.28515625" style="53"/>
    <col min="17" max="21" width="11" style="53" bestFit="1" customWidth="1"/>
    <col min="22" max="16384" width="9.28515625" style="53"/>
  </cols>
  <sheetData>
    <row r="2" spans="2:43" ht="23.25" x14ac:dyDescent="0.35">
      <c r="B2" s="199" t="s">
        <v>79</v>
      </c>
      <c r="C2" s="200"/>
      <c r="D2" s="200"/>
      <c r="E2" s="200"/>
      <c r="F2" s="200"/>
      <c r="G2" s="200"/>
      <c r="H2" s="200"/>
      <c r="Q2" s="154"/>
    </row>
    <row r="3" spans="2:43" x14ac:dyDescent="0.25">
      <c r="B3" s="201" t="s">
        <v>35</v>
      </c>
      <c r="C3" s="201"/>
      <c r="D3" s="201"/>
      <c r="E3" s="201"/>
      <c r="F3" s="201"/>
      <c r="G3" s="201"/>
      <c r="H3" s="201"/>
      <c r="O3" s="77"/>
      <c r="Q3" s="154"/>
      <c r="R3" s="170"/>
    </row>
    <row r="4" spans="2:43" x14ac:dyDescent="0.25">
      <c r="B4" s="50"/>
      <c r="O4" s="168"/>
    </row>
    <row r="5" spans="2:43" ht="18.75" x14ac:dyDescent="0.3">
      <c r="B5" s="56" t="s">
        <v>2</v>
      </c>
      <c r="C5" s="57"/>
      <c r="D5" s="57"/>
      <c r="E5" s="57"/>
      <c r="F5" s="57"/>
      <c r="G5" s="57"/>
      <c r="H5" s="57"/>
      <c r="I5" s="57"/>
      <c r="J5" s="58"/>
      <c r="S5" s="154"/>
      <c r="T5" s="154"/>
      <c r="U5" s="154"/>
      <c r="V5" s="154"/>
    </row>
    <row r="6" spans="2:43" x14ac:dyDescent="0.25">
      <c r="B6" s="59" t="s">
        <v>3</v>
      </c>
      <c r="C6" s="59" t="s">
        <v>4</v>
      </c>
      <c r="D6" s="59" t="s">
        <v>5</v>
      </c>
      <c r="E6" s="60" t="s">
        <v>6</v>
      </c>
      <c r="F6" s="60" t="s">
        <v>7</v>
      </c>
      <c r="G6" s="60" t="s">
        <v>8</v>
      </c>
      <c r="H6" s="61" t="s">
        <v>9</v>
      </c>
      <c r="I6" s="62"/>
      <c r="J6" s="63" t="s">
        <v>10</v>
      </c>
    </row>
    <row r="7" spans="2:43" s="50" customFormat="1" x14ac:dyDescent="0.25">
      <c r="B7" s="141" t="s">
        <v>11</v>
      </c>
      <c r="C7" s="65" t="s">
        <v>36</v>
      </c>
      <c r="D7" s="66" t="s">
        <v>37</v>
      </c>
      <c r="E7" s="66" t="s">
        <v>37</v>
      </c>
      <c r="F7" s="66" t="s">
        <v>37</v>
      </c>
      <c r="G7" s="66"/>
      <c r="H7" s="66" t="s">
        <v>37</v>
      </c>
      <c r="I7" s="53"/>
      <c r="J7" s="67" t="s">
        <v>37</v>
      </c>
      <c r="K7"/>
      <c r="L7"/>
      <c r="M7"/>
      <c r="N7"/>
      <c r="O7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2:43" x14ac:dyDescent="0.25">
      <c r="B8" s="68"/>
      <c r="C8" s="69" t="s">
        <v>38</v>
      </c>
      <c r="D8" s="160">
        <v>1000</v>
      </c>
      <c r="E8" s="160">
        <v>1000</v>
      </c>
      <c r="F8" s="160">
        <v>1000</v>
      </c>
      <c r="G8" s="160">
        <v>1000</v>
      </c>
      <c r="H8" s="160">
        <v>1000</v>
      </c>
      <c r="I8" s="154"/>
      <c r="J8" s="155">
        <f>SUM(D8:H8)</f>
        <v>5000</v>
      </c>
      <c r="K8"/>
      <c r="L8"/>
      <c r="M8"/>
      <c r="N8"/>
      <c r="O8"/>
    </row>
    <row r="9" spans="2:43" x14ac:dyDescent="0.25">
      <c r="B9" s="68"/>
      <c r="C9" s="69" t="s">
        <v>39</v>
      </c>
      <c r="D9" s="160">
        <v>1000</v>
      </c>
      <c r="E9" s="160">
        <v>1000</v>
      </c>
      <c r="F9" s="160">
        <v>1000</v>
      </c>
      <c r="G9" s="160">
        <v>1000</v>
      </c>
      <c r="H9" s="160">
        <v>1000</v>
      </c>
      <c r="I9" s="154"/>
      <c r="J9" s="155">
        <f t="shared" ref="J9:J12" si="0">SUM(D9:H9)</f>
        <v>5000</v>
      </c>
      <c r="K9"/>
      <c r="L9"/>
      <c r="M9"/>
      <c r="N9"/>
      <c r="O9"/>
    </row>
    <row r="10" spans="2:43" x14ac:dyDescent="0.25">
      <c r="B10" s="68"/>
      <c r="C10" s="181" t="s">
        <v>40</v>
      </c>
      <c r="D10" s="182">
        <v>5000</v>
      </c>
      <c r="E10" s="182">
        <v>5000</v>
      </c>
      <c r="F10" s="182">
        <v>5000</v>
      </c>
      <c r="G10" s="182">
        <v>5000</v>
      </c>
      <c r="H10" s="182">
        <v>5000</v>
      </c>
      <c r="I10" s="154"/>
      <c r="J10" s="155">
        <f t="shared" si="0"/>
        <v>25000</v>
      </c>
      <c r="K10"/>
      <c r="L10"/>
      <c r="M10"/>
      <c r="N10"/>
      <c r="O10"/>
    </row>
    <row r="11" spans="2:43" x14ac:dyDescent="0.25">
      <c r="B11" s="68"/>
      <c r="C11" s="69" t="s">
        <v>41</v>
      </c>
      <c r="D11" s="160">
        <v>0</v>
      </c>
      <c r="E11" s="160">
        <v>0</v>
      </c>
      <c r="F11" s="160">
        <v>0</v>
      </c>
      <c r="G11" s="160">
        <v>0</v>
      </c>
      <c r="H11" s="160">
        <v>0</v>
      </c>
      <c r="I11" s="154"/>
      <c r="J11" s="155">
        <f t="shared" si="0"/>
        <v>0</v>
      </c>
      <c r="K11" s="188"/>
      <c r="L11"/>
      <c r="M11"/>
      <c r="N11"/>
      <c r="O11"/>
      <c r="Q11" s="170"/>
      <c r="R11" s="170"/>
      <c r="S11" s="170"/>
      <c r="T11" s="170"/>
      <c r="U11" s="170"/>
    </row>
    <row r="12" spans="2:43" ht="32.25" customHeight="1" x14ac:dyDescent="0.25">
      <c r="B12" s="68"/>
      <c r="C12" s="69" t="s">
        <v>80</v>
      </c>
      <c r="D12" s="155">
        <v>70000</v>
      </c>
      <c r="E12" s="155">
        <v>70000</v>
      </c>
      <c r="F12" s="155">
        <v>70000</v>
      </c>
      <c r="G12" s="155">
        <v>70000</v>
      </c>
      <c r="H12" s="155">
        <v>70000</v>
      </c>
      <c r="I12" s="154"/>
      <c r="J12" s="155">
        <f t="shared" si="0"/>
        <v>350000</v>
      </c>
      <c r="K12"/>
      <c r="L12"/>
      <c r="M12"/>
      <c r="N12"/>
      <c r="O12"/>
      <c r="Q12" s="170"/>
      <c r="R12" s="170"/>
      <c r="S12" s="170"/>
      <c r="T12" s="170"/>
      <c r="U12" s="170"/>
    </row>
    <row r="13" spans="2:43" x14ac:dyDescent="0.25">
      <c r="B13" s="68"/>
      <c r="C13" s="72" t="s">
        <v>12</v>
      </c>
      <c r="D13" s="153">
        <f>SUM(D8:D12)</f>
        <v>77000</v>
      </c>
      <c r="E13" s="153">
        <f t="shared" ref="E13:H13" si="1">SUM(E8:E12)</f>
        <v>77000</v>
      </c>
      <c r="F13" s="153">
        <f t="shared" si="1"/>
        <v>77000</v>
      </c>
      <c r="G13" s="153">
        <f t="shared" si="1"/>
        <v>77000</v>
      </c>
      <c r="H13" s="153">
        <f t="shared" si="1"/>
        <v>77000</v>
      </c>
      <c r="I13" s="154"/>
      <c r="J13" s="153">
        <f>SUM(J8:J12)</f>
        <v>385000</v>
      </c>
      <c r="K13"/>
      <c r="L13"/>
      <c r="M13"/>
      <c r="N13"/>
      <c r="O13"/>
      <c r="Q13" s="170"/>
      <c r="R13" s="170"/>
      <c r="S13" s="170"/>
      <c r="T13" s="170"/>
      <c r="U13" s="170"/>
    </row>
    <row r="14" spans="2:43" x14ac:dyDescent="0.25">
      <c r="B14" s="68"/>
      <c r="C14" s="74" t="s">
        <v>42</v>
      </c>
      <c r="D14" s="162" t="s">
        <v>37</v>
      </c>
      <c r="E14" s="163"/>
      <c r="F14" s="163"/>
      <c r="G14" s="163"/>
      <c r="H14" s="163"/>
      <c r="I14" s="154"/>
      <c r="J14" s="155" t="s">
        <v>37</v>
      </c>
      <c r="K14"/>
      <c r="L14"/>
      <c r="M14"/>
      <c r="N14"/>
      <c r="O14"/>
    </row>
    <row r="15" spans="2:43" x14ac:dyDescent="0.25">
      <c r="B15" s="68"/>
      <c r="C15" s="69" t="s">
        <v>43</v>
      </c>
      <c r="D15" s="162">
        <f>D13*0.47</f>
        <v>36190</v>
      </c>
      <c r="E15" s="162">
        <f t="shared" ref="E15:H15" si="2">E13*0.47</f>
        <v>36190</v>
      </c>
      <c r="F15" s="162">
        <f t="shared" si="2"/>
        <v>36190</v>
      </c>
      <c r="G15" s="162">
        <f t="shared" si="2"/>
        <v>36190</v>
      </c>
      <c r="H15" s="162">
        <f t="shared" si="2"/>
        <v>36190</v>
      </c>
      <c r="I15" s="154"/>
      <c r="J15" s="155">
        <f>SUM(D15:H15)</f>
        <v>180950</v>
      </c>
      <c r="K15"/>
      <c r="L15"/>
      <c r="M15"/>
      <c r="N15"/>
      <c r="O15"/>
    </row>
    <row r="16" spans="2:43" x14ac:dyDescent="0.25">
      <c r="B16" s="68"/>
      <c r="C16" s="72" t="s">
        <v>13</v>
      </c>
      <c r="D16" s="153">
        <f>SUM(D15:D15)</f>
        <v>36190</v>
      </c>
      <c r="E16" s="153">
        <f>SUM(E15:E15)</f>
        <v>36190</v>
      </c>
      <c r="F16" s="153">
        <f>SUM(F15:F15)</f>
        <v>36190</v>
      </c>
      <c r="G16" s="153">
        <f>SUM(G15:G15)</f>
        <v>36190</v>
      </c>
      <c r="H16" s="153">
        <f>SUM(H15:H15)</f>
        <v>36190</v>
      </c>
      <c r="I16" s="154"/>
      <c r="J16" s="153">
        <f>SUM(D16:H16)</f>
        <v>180950</v>
      </c>
      <c r="K16"/>
      <c r="L16"/>
      <c r="M16"/>
      <c r="N16"/>
      <c r="O16"/>
    </row>
    <row r="17" spans="2:15" x14ac:dyDescent="0.25">
      <c r="B17" s="68"/>
      <c r="C17" s="74" t="s">
        <v>44</v>
      </c>
      <c r="D17" s="162"/>
      <c r="E17" s="163"/>
      <c r="F17" s="163"/>
      <c r="G17" s="163"/>
      <c r="H17" s="163"/>
      <c r="I17" s="154"/>
      <c r="J17" s="155"/>
      <c r="K17"/>
      <c r="L17"/>
      <c r="M17"/>
      <c r="N17"/>
      <c r="O17"/>
    </row>
    <row r="18" spans="2:15" ht="120" x14ac:dyDescent="0.25">
      <c r="B18" s="68"/>
      <c r="C18" s="185" t="s">
        <v>81</v>
      </c>
      <c r="D18" s="162">
        <v>1000</v>
      </c>
      <c r="E18" s="162">
        <v>1000</v>
      </c>
      <c r="F18" s="162">
        <v>1000</v>
      </c>
      <c r="G18" s="162">
        <v>1000</v>
      </c>
      <c r="H18" s="162">
        <v>1000</v>
      </c>
      <c r="I18" s="154"/>
      <c r="J18" s="155">
        <f>SUM(D18:H18)</f>
        <v>5000</v>
      </c>
      <c r="K18"/>
      <c r="L18"/>
      <c r="M18"/>
      <c r="N18"/>
      <c r="O18"/>
    </row>
    <row r="19" spans="2:15" x14ac:dyDescent="0.25">
      <c r="B19" s="68"/>
      <c r="C19" s="72" t="s">
        <v>14</v>
      </c>
      <c r="D19" s="153">
        <f>SUM(D18:D18)</f>
        <v>1000</v>
      </c>
      <c r="E19" s="153">
        <f>SUM(E18:E18)</f>
        <v>1000</v>
      </c>
      <c r="F19" s="153">
        <f>SUM(F18:F18)</f>
        <v>1000</v>
      </c>
      <c r="G19" s="153">
        <f>SUM(G18:G18)</f>
        <v>1000</v>
      </c>
      <c r="H19" s="153">
        <f>SUM(H18:H18)</f>
        <v>1000</v>
      </c>
      <c r="I19" s="154"/>
      <c r="J19" s="153">
        <f>SUM(J18:J18)</f>
        <v>5000</v>
      </c>
      <c r="K19"/>
      <c r="L19"/>
      <c r="M19"/>
      <c r="N19"/>
      <c r="O19"/>
    </row>
    <row r="20" spans="2:15" x14ac:dyDescent="0.25">
      <c r="B20" s="68"/>
      <c r="C20" s="74" t="s">
        <v>46</v>
      </c>
      <c r="D20" s="162"/>
      <c r="E20" s="163"/>
      <c r="F20" s="163"/>
      <c r="G20" s="163"/>
      <c r="H20" s="163"/>
      <c r="I20" s="154"/>
      <c r="J20" s="162" t="s">
        <v>20</v>
      </c>
      <c r="K20"/>
      <c r="L20"/>
      <c r="M20"/>
      <c r="N20"/>
      <c r="O20"/>
    </row>
    <row r="21" spans="2:15" x14ac:dyDescent="0.25">
      <c r="B21" s="68"/>
      <c r="C21" s="75" t="s">
        <v>47</v>
      </c>
      <c r="D21" s="163">
        <v>0</v>
      </c>
      <c r="E21" s="163">
        <v>0</v>
      </c>
      <c r="F21" s="163">
        <v>0</v>
      </c>
      <c r="G21" s="163">
        <v>0</v>
      </c>
      <c r="H21" s="163">
        <v>0</v>
      </c>
      <c r="I21" s="154"/>
      <c r="J21" s="162">
        <f>SUM(D21:I21)</f>
        <v>0</v>
      </c>
      <c r="K21"/>
      <c r="L21"/>
      <c r="M21"/>
      <c r="N21"/>
      <c r="O21"/>
    </row>
    <row r="22" spans="2:15" x14ac:dyDescent="0.25">
      <c r="B22" s="68"/>
      <c r="C22" s="72" t="s">
        <v>15</v>
      </c>
      <c r="D22" s="164">
        <f>SUM(D21:D21)</f>
        <v>0</v>
      </c>
      <c r="E22" s="164">
        <f>SUM(E21:E21)</f>
        <v>0</v>
      </c>
      <c r="F22" s="164">
        <f>SUM(F21:F21)</f>
        <v>0</v>
      </c>
      <c r="G22" s="164">
        <f>SUM(G21:G21)</f>
        <v>0</v>
      </c>
      <c r="H22" s="164">
        <f>SUM(H21:H21)</f>
        <v>0</v>
      </c>
      <c r="I22" s="154"/>
      <c r="J22" s="153">
        <f>SUM(J21:J21)</f>
        <v>0</v>
      </c>
      <c r="K22"/>
      <c r="L22"/>
      <c r="M22"/>
      <c r="N22"/>
      <c r="O22"/>
    </row>
    <row r="23" spans="2:15" x14ac:dyDescent="0.25">
      <c r="B23" s="68"/>
      <c r="C23" s="74" t="s">
        <v>48</v>
      </c>
      <c r="D23" s="162" t="s">
        <v>37</v>
      </c>
      <c r="E23" s="163"/>
      <c r="F23" s="163"/>
      <c r="G23" s="163"/>
      <c r="H23" s="163"/>
      <c r="I23" s="154"/>
      <c r="J23" s="162"/>
      <c r="K23"/>
      <c r="L23"/>
      <c r="M23"/>
      <c r="N23"/>
      <c r="O23"/>
    </row>
    <row r="24" spans="2:15" ht="45" x14ac:dyDescent="0.25">
      <c r="B24" s="68"/>
      <c r="C24" s="69" t="s">
        <v>82</v>
      </c>
      <c r="D24" s="183">
        <v>1000</v>
      </c>
      <c r="E24" s="183">
        <v>500</v>
      </c>
      <c r="F24" s="183">
        <v>500</v>
      </c>
      <c r="G24" s="183">
        <v>500</v>
      </c>
      <c r="H24" s="183">
        <v>500</v>
      </c>
      <c r="I24" s="154"/>
      <c r="J24" s="162">
        <f>SUM(D24:I24)</f>
        <v>3000</v>
      </c>
      <c r="K24"/>
      <c r="L24"/>
      <c r="M24"/>
      <c r="N24"/>
      <c r="O24"/>
    </row>
    <row r="25" spans="2:15" x14ac:dyDescent="0.25">
      <c r="B25" s="68"/>
      <c r="C25" s="72" t="s">
        <v>16</v>
      </c>
      <c r="D25" s="153">
        <f>SUM(D24:D24)</f>
        <v>1000</v>
      </c>
      <c r="E25" s="153">
        <f>SUM(E24:E24)</f>
        <v>500</v>
      </c>
      <c r="F25" s="153">
        <f>SUM(F24:F24)</f>
        <v>500</v>
      </c>
      <c r="G25" s="153">
        <f>SUM(G24:G24)</f>
        <v>500</v>
      </c>
      <c r="H25" s="153">
        <f>SUM(H24:H24)</f>
        <v>500</v>
      </c>
      <c r="I25" s="154"/>
      <c r="J25" s="153">
        <f>SUM(J24:J24)</f>
        <v>3000</v>
      </c>
      <c r="K25"/>
      <c r="L25"/>
      <c r="M25"/>
      <c r="N25"/>
      <c r="O25"/>
    </row>
    <row r="26" spans="2:15" x14ac:dyDescent="0.25">
      <c r="B26" s="68"/>
      <c r="C26" s="74" t="s">
        <v>49</v>
      </c>
      <c r="D26" s="75" t="s">
        <v>37</v>
      </c>
      <c r="E26" s="66"/>
      <c r="F26" s="66"/>
      <c r="G26" s="66"/>
      <c r="H26" s="66"/>
      <c r="J26" s="70"/>
      <c r="K26"/>
      <c r="L26"/>
      <c r="M26"/>
      <c r="N26"/>
      <c r="O26"/>
    </row>
    <row r="27" spans="2:15" ht="45" x14ac:dyDescent="0.25">
      <c r="B27" s="68"/>
      <c r="C27" s="69" t="s">
        <v>83</v>
      </c>
      <c r="D27" s="183">
        <v>50000</v>
      </c>
      <c r="E27" s="163">
        <v>0</v>
      </c>
      <c r="F27" s="163">
        <v>0</v>
      </c>
      <c r="G27" s="163">
        <v>0</v>
      </c>
      <c r="H27" s="163">
        <v>0</v>
      </c>
      <c r="I27" s="154"/>
      <c r="J27" s="162">
        <f>SUM(D27:I27)</f>
        <v>50000</v>
      </c>
      <c r="K27"/>
      <c r="L27"/>
      <c r="M27"/>
      <c r="N27"/>
      <c r="O27"/>
    </row>
    <row r="28" spans="2:15" x14ac:dyDescent="0.25">
      <c r="B28" s="68"/>
      <c r="C28" s="72" t="s">
        <v>17</v>
      </c>
      <c r="D28" s="73">
        <f>SUM(D27)</f>
        <v>50000</v>
      </c>
      <c r="E28" s="73">
        <f t="shared" ref="E28:H28" si="3">SUM(E27)</f>
        <v>0</v>
      </c>
      <c r="F28" s="73">
        <f t="shared" si="3"/>
        <v>0</v>
      </c>
      <c r="G28" s="73">
        <f t="shared" si="3"/>
        <v>0</v>
      </c>
      <c r="H28" s="73">
        <f t="shared" si="3"/>
        <v>0</v>
      </c>
      <c r="J28" s="73">
        <f>SUM(J27:J27)</f>
        <v>50000</v>
      </c>
      <c r="K28"/>
      <c r="L28"/>
      <c r="M28"/>
      <c r="N28"/>
      <c r="O28"/>
    </row>
    <row r="29" spans="2:15" x14ac:dyDescent="0.25">
      <c r="B29" s="68"/>
      <c r="C29" s="74" t="s">
        <v>50</v>
      </c>
      <c r="D29" s="75" t="s">
        <v>37</v>
      </c>
      <c r="E29" s="66"/>
      <c r="F29" s="66"/>
      <c r="G29" s="66"/>
      <c r="H29" s="66"/>
      <c r="J29" s="70"/>
      <c r="K29"/>
      <c r="L29"/>
      <c r="M29"/>
      <c r="N29"/>
      <c r="O29"/>
    </row>
    <row r="30" spans="2:15" x14ac:dyDescent="0.25">
      <c r="B30" s="68"/>
      <c r="C30" s="69" t="s">
        <v>84</v>
      </c>
      <c r="D30" s="70">
        <f>ROUNDUP((8897757-50000)/3,0)</f>
        <v>2949253</v>
      </c>
      <c r="E30" s="70">
        <f>ROUND((8897757-50000)/3,0)</f>
        <v>2949252</v>
      </c>
      <c r="F30" s="70">
        <f>ROUND((8897757-50000)/3,0)</f>
        <v>2949252</v>
      </c>
      <c r="G30" s="70">
        <v>0</v>
      </c>
      <c r="H30" s="70">
        <v>0</v>
      </c>
      <c r="I30" s="168">
        <v>375000</v>
      </c>
      <c r="J30" s="70">
        <f t="shared" ref="J30:J35" si="4">SUM(D30:H30)</f>
        <v>8847757</v>
      </c>
      <c r="K30"/>
      <c r="L30"/>
      <c r="M30"/>
      <c r="N30"/>
      <c r="O30"/>
    </row>
    <row r="31" spans="2:15" hidden="1" x14ac:dyDescent="0.25">
      <c r="B31" s="68"/>
      <c r="C31" s="69"/>
      <c r="D31" s="70"/>
      <c r="E31" s="70"/>
      <c r="F31" s="70"/>
      <c r="G31" s="70"/>
      <c r="H31" s="70"/>
      <c r="I31" s="77">
        <v>781250</v>
      </c>
      <c r="J31" s="70">
        <f t="shared" si="4"/>
        <v>0</v>
      </c>
      <c r="K31"/>
      <c r="L31"/>
      <c r="M31"/>
      <c r="N31"/>
      <c r="O31"/>
    </row>
    <row r="32" spans="2:15" hidden="1" x14ac:dyDescent="0.25">
      <c r="B32" s="68"/>
      <c r="C32" s="69"/>
      <c r="D32" s="70"/>
      <c r="E32" s="70"/>
      <c r="F32" s="70"/>
      <c r="G32" s="70"/>
      <c r="H32" s="70"/>
      <c r="I32" s="77">
        <v>2083335</v>
      </c>
      <c r="J32" s="70">
        <f t="shared" si="4"/>
        <v>0</v>
      </c>
      <c r="K32"/>
      <c r="L32"/>
      <c r="M32"/>
      <c r="N32"/>
      <c r="O32"/>
    </row>
    <row r="33" spans="2:15" hidden="1" x14ac:dyDescent="0.25">
      <c r="B33" s="68"/>
      <c r="C33" s="69"/>
      <c r="D33" s="70"/>
      <c r="E33" s="71"/>
      <c r="F33" s="71"/>
      <c r="G33" s="71"/>
      <c r="H33" s="71"/>
      <c r="J33" s="70">
        <f t="shared" si="4"/>
        <v>0</v>
      </c>
      <c r="K33"/>
      <c r="L33"/>
      <c r="M33"/>
      <c r="N33"/>
      <c r="O33"/>
    </row>
    <row r="34" spans="2:15" hidden="1" x14ac:dyDescent="0.25">
      <c r="B34" s="68"/>
      <c r="C34" s="69"/>
      <c r="D34" s="70"/>
      <c r="E34" s="71"/>
      <c r="F34" s="71"/>
      <c r="G34" s="71"/>
      <c r="H34" s="71"/>
      <c r="J34" s="70">
        <f t="shared" si="4"/>
        <v>0</v>
      </c>
      <c r="K34"/>
      <c r="L34"/>
      <c r="M34"/>
      <c r="N34"/>
      <c r="O34"/>
    </row>
    <row r="35" spans="2:15" hidden="1" x14ac:dyDescent="0.25">
      <c r="B35" s="68"/>
      <c r="C35" s="66"/>
      <c r="D35" s="70"/>
      <c r="E35" s="71"/>
      <c r="F35" s="71"/>
      <c r="G35" s="71"/>
      <c r="H35" s="71"/>
      <c r="J35" s="70">
        <f t="shared" si="4"/>
        <v>0</v>
      </c>
      <c r="K35"/>
      <c r="L35"/>
      <c r="M35"/>
      <c r="N35"/>
      <c r="O35"/>
    </row>
    <row r="36" spans="2:15" x14ac:dyDescent="0.25">
      <c r="B36" s="78"/>
      <c r="C36" s="72" t="s">
        <v>18</v>
      </c>
      <c r="D36" s="73">
        <f>SUM(D30:D35)</f>
        <v>2949253</v>
      </c>
      <c r="E36" s="73">
        <f t="shared" ref="E36:H36" si="5">SUM(E30:E35)</f>
        <v>2949252</v>
      </c>
      <c r="F36" s="73">
        <f t="shared" si="5"/>
        <v>2949252</v>
      </c>
      <c r="G36" s="73">
        <f t="shared" si="5"/>
        <v>0</v>
      </c>
      <c r="H36" s="73">
        <f t="shared" si="5"/>
        <v>0</v>
      </c>
      <c r="J36" s="73">
        <f>SUM(D36:H36)</f>
        <v>8847757</v>
      </c>
      <c r="K36"/>
      <c r="L36"/>
      <c r="M36"/>
      <c r="N36"/>
      <c r="O36"/>
    </row>
    <row r="37" spans="2:15" x14ac:dyDescent="0.25">
      <c r="B37" s="78"/>
      <c r="C37" s="72" t="s">
        <v>19</v>
      </c>
      <c r="D37" s="73">
        <f>SUM(D13,D16,D19,D22,D25,D28,D36)</f>
        <v>3114443</v>
      </c>
      <c r="E37" s="73">
        <f>SUM(E13,E16,E19,E22,E25,E28,E36)</f>
        <v>3063942</v>
      </c>
      <c r="F37" s="73">
        <f>SUM(F13,F16,F19,F22,F25,F28,F36)</f>
        <v>3063942</v>
      </c>
      <c r="G37" s="73">
        <f>SUM(G13,G16,G19,G22,G25,G28,G36)</f>
        <v>114690</v>
      </c>
      <c r="H37" s="73">
        <f>SUM(H13,H16,H19,H22,H25,H28,H36)</f>
        <v>114690</v>
      </c>
      <c r="J37" s="73">
        <f>SUM(D37:H37)</f>
        <v>9471707</v>
      </c>
      <c r="K37"/>
      <c r="L37"/>
      <c r="M37"/>
      <c r="N37"/>
      <c r="O37"/>
    </row>
    <row r="38" spans="2:15" x14ac:dyDescent="0.25">
      <c r="B38" s="54"/>
      <c r="D38" s="53"/>
      <c r="E38" s="53"/>
      <c r="H38" s="53"/>
      <c r="J38" s="53" t="s">
        <v>20</v>
      </c>
      <c r="K38"/>
      <c r="L38"/>
      <c r="M38"/>
      <c r="N38"/>
      <c r="O38"/>
    </row>
    <row r="39" spans="2:15" x14ac:dyDescent="0.25">
      <c r="B39" s="141" t="s">
        <v>73</v>
      </c>
      <c r="C39" s="79" t="s">
        <v>73</v>
      </c>
      <c r="D39" s="67"/>
      <c r="E39" s="67"/>
      <c r="F39" s="67"/>
      <c r="G39" s="67"/>
      <c r="H39" s="67"/>
      <c r="J39" s="67" t="s">
        <v>20</v>
      </c>
      <c r="K39"/>
      <c r="L39"/>
      <c r="M39"/>
      <c r="N39"/>
      <c r="O39"/>
    </row>
    <row r="40" spans="2:15" ht="45" x14ac:dyDescent="0.25">
      <c r="B40" s="68"/>
      <c r="C40" s="83" t="s">
        <v>74</v>
      </c>
      <c r="D40" s="162">
        <f>D13*0.385</f>
        <v>29645</v>
      </c>
      <c r="E40" s="162">
        <f t="shared" ref="E40:H40" si="6">E13*0.385</f>
        <v>29645</v>
      </c>
      <c r="F40" s="162">
        <f t="shared" si="6"/>
        <v>29645</v>
      </c>
      <c r="G40" s="162">
        <f t="shared" si="6"/>
        <v>29645</v>
      </c>
      <c r="H40" s="162">
        <f t="shared" si="6"/>
        <v>29645</v>
      </c>
      <c r="I40" s="154"/>
      <c r="J40" s="162">
        <f>SUM(D40:H40)</f>
        <v>148225</v>
      </c>
      <c r="K40"/>
      <c r="L40"/>
      <c r="M40"/>
      <c r="N40"/>
      <c r="O40"/>
    </row>
    <row r="41" spans="2:15" x14ac:dyDescent="0.25">
      <c r="B41" s="78"/>
      <c r="C41" s="72" t="s">
        <v>21</v>
      </c>
      <c r="D41" s="73">
        <f>SUM(D40:D40)</f>
        <v>29645</v>
      </c>
      <c r="E41" s="73">
        <f>SUM(E40:E40)</f>
        <v>29645</v>
      </c>
      <c r="F41" s="73">
        <f>SUM(F40:F40)</f>
        <v>29645</v>
      </c>
      <c r="G41" s="73">
        <f>SUM(G40:G40)</f>
        <v>29645</v>
      </c>
      <c r="H41" s="73">
        <f>SUM(H40:H40)</f>
        <v>29645</v>
      </c>
      <c r="J41" s="73">
        <f>SUM(D41:H41)</f>
        <v>148225</v>
      </c>
      <c r="K41"/>
      <c r="L41"/>
      <c r="M41"/>
      <c r="N41"/>
      <c r="O41"/>
    </row>
    <row r="42" spans="2:15" x14ac:dyDescent="0.25">
      <c r="B42" s="54"/>
      <c r="D42" s="53"/>
      <c r="E42" s="53"/>
      <c r="H42" s="53"/>
      <c r="J42" s="53" t="s">
        <v>20</v>
      </c>
      <c r="K42"/>
      <c r="L42"/>
      <c r="M42"/>
      <c r="N42"/>
      <c r="O42"/>
    </row>
    <row r="43" spans="2:15" s="82" customFormat="1" ht="30.75" thickBot="1" x14ac:dyDescent="0.3">
      <c r="B43" s="80" t="s">
        <v>22</v>
      </c>
      <c r="C43" s="80"/>
      <c r="D43" s="81">
        <f>D37+D41</f>
        <v>3144088</v>
      </c>
      <c r="E43" s="81">
        <f t="shared" ref="E43:J43" si="7">SUM(E41,E37)</f>
        <v>3093587</v>
      </c>
      <c r="F43" s="81">
        <f t="shared" si="7"/>
        <v>3093587</v>
      </c>
      <c r="G43" s="81">
        <f t="shared" si="7"/>
        <v>144335</v>
      </c>
      <c r="H43" s="81">
        <f t="shared" si="7"/>
        <v>144335</v>
      </c>
      <c r="I43" s="53">
        <f t="shared" si="7"/>
        <v>0</v>
      </c>
      <c r="J43" s="81">
        <f t="shared" si="7"/>
        <v>9619932</v>
      </c>
      <c r="K43"/>
      <c r="L43"/>
      <c r="M43"/>
      <c r="N43"/>
      <c r="O43"/>
    </row>
    <row r="44" spans="2:15" x14ac:dyDescent="0.25">
      <c r="B44" s="54"/>
      <c r="D44"/>
      <c r="E44"/>
      <c r="F44"/>
      <c r="G44"/>
      <c r="H44"/>
      <c r="I44"/>
      <c r="J44"/>
      <c r="K44"/>
      <c r="L44"/>
      <c r="M44"/>
      <c r="N44"/>
      <c r="O44"/>
    </row>
    <row r="45" spans="2:15" x14ac:dyDescent="0.25">
      <c r="B45" s="54"/>
      <c r="J45" s="154"/>
      <c r="K45"/>
      <c r="L45"/>
      <c r="M45"/>
      <c r="N45"/>
      <c r="O45"/>
    </row>
    <row r="46" spans="2:15" hidden="1" x14ac:dyDescent="0.25">
      <c r="B46" s="54"/>
      <c r="D46" s="171">
        <f>D41+D37</f>
        <v>3144088</v>
      </c>
      <c r="E46" s="171">
        <f t="shared" ref="E46:J46" si="8">E41+E37</f>
        <v>3093587</v>
      </c>
      <c r="F46" s="171">
        <f t="shared" si="8"/>
        <v>3093587</v>
      </c>
      <c r="G46" s="171">
        <f t="shared" si="8"/>
        <v>144335</v>
      </c>
      <c r="H46" s="171">
        <f t="shared" si="8"/>
        <v>144335</v>
      </c>
      <c r="I46" s="171">
        <f t="shared" si="8"/>
        <v>0</v>
      </c>
      <c r="J46" s="171">
        <f t="shared" si="8"/>
        <v>9619932</v>
      </c>
    </row>
    <row r="47" spans="2:15" hidden="1" x14ac:dyDescent="0.25">
      <c r="B47" s="54"/>
      <c r="D47" s="171">
        <f>D46-D43</f>
        <v>0</v>
      </c>
      <c r="E47" s="171">
        <f t="shared" ref="E47:J47" si="9">E46-E43</f>
        <v>0</v>
      </c>
      <c r="F47" s="171">
        <f t="shared" si="9"/>
        <v>0</v>
      </c>
      <c r="G47" s="171">
        <f t="shared" si="9"/>
        <v>0</v>
      </c>
      <c r="H47" s="171">
        <f t="shared" si="9"/>
        <v>0</v>
      </c>
      <c r="I47" s="171">
        <f t="shared" si="9"/>
        <v>0</v>
      </c>
      <c r="J47" s="171">
        <f t="shared" si="9"/>
        <v>0</v>
      </c>
    </row>
    <row r="48" spans="2:15" hidden="1" x14ac:dyDescent="0.25">
      <c r="B48" s="54"/>
    </row>
    <row r="49" spans="2:10" hidden="1" x14ac:dyDescent="0.25">
      <c r="B49" s="54"/>
      <c r="D49" s="171">
        <f>D36+D28+D25+D22+D19+D16+D13</f>
        <v>3114443</v>
      </c>
      <c r="E49" s="171">
        <f t="shared" ref="E49:J49" si="10">E36+E28+E25+E22+E19+E16+E13</f>
        <v>3063942</v>
      </c>
      <c r="F49" s="171">
        <f t="shared" si="10"/>
        <v>3063942</v>
      </c>
      <c r="G49" s="171">
        <f t="shared" si="10"/>
        <v>114690</v>
      </c>
      <c r="H49" s="171">
        <f t="shared" si="10"/>
        <v>114690</v>
      </c>
      <c r="I49" s="171">
        <f t="shared" si="10"/>
        <v>0</v>
      </c>
      <c r="J49" s="171">
        <f t="shared" si="10"/>
        <v>9471707</v>
      </c>
    </row>
    <row r="50" spans="2:10" hidden="1" x14ac:dyDescent="0.25">
      <c r="B50" s="54"/>
      <c r="D50" s="171">
        <f>D49-D37</f>
        <v>0</v>
      </c>
      <c r="E50" s="171">
        <f t="shared" ref="E50:J50" si="11">E49-E37</f>
        <v>0</v>
      </c>
      <c r="F50" s="171">
        <f t="shared" si="11"/>
        <v>0</v>
      </c>
      <c r="G50" s="171">
        <f t="shared" si="11"/>
        <v>0</v>
      </c>
      <c r="H50" s="171">
        <f t="shared" si="11"/>
        <v>0</v>
      </c>
      <c r="I50" s="171">
        <f t="shared" si="11"/>
        <v>0</v>
      </c>
      <c r="J50" s="171">
        <f t="shared" si="11"/>
        <v>0</v>
      </c>
    </row>
    <row r="51" spans="2:10" hidden="1" x14ac:dyDescent="0.25">
      <c r="B51" s="54"/>
    </row>
    <row r="52" spans="2:10" hidden="1" x14ac:dyDescent="0.25">
      <c r="B52" s="54"/>
    </row>
    <row r="53" spans="2:10" hidden="1" x14ac:dyDescent="0.25">
      <c r="B53" s="54"/>
    </row>
    <row r="54" spans="2:10" hidden="1" x14ac:dyDescent="0.25">
      <c r="B54" s="54"/>
      <c r="J54" s="154">
        <f>J44+J36+J28</f>
        <v>8897757</v>
      </c>
    </row>
    <row r="55" spans="2:10" hidden="1" x14ac:dyDescent="0.25">
      <c r="B55" s="54"/>
      <c r="J55" s="154">
        <f>J54-J43</f>
        <v>-722175</v>
      </c>
    </row>
    <row r="56" spans="2:10" hidden="1" x14ac:dyDescent="0.25">
      <c r="B56" s="54"/>
    </row>
    <row r="57" spans="2:10" hidden="1" x14ac:dyDescent="0.25">
      <c r="B57" s="54"/>
    </row>
    <row r="58" spans="2:10" x14ac:dyDescent="0.25">
      <c r="B58" s="54"/>
    </row>
  </sheetData>
  <mergeCells count="2">
    <mergeCell ref="B2:H2"/>
    <mergeCell ref="B3:H3"/>
  </mergeCells>
  <conditionalFormatting sqref="L1:L6 O3 L46:L1048576">
    <cfRule type="cellIs" dxfId="0" priority="2" operator="greaterThan">
      <formula>0</formula>
    </cfRule>
  </conditionalFormatting>
  <pageMargins left="0.7" right="0.7" top="0.75" bottom="0.75" header="0.3" footer="0.3"/>
  <pageSetup scale="89" fitToHeight="0" orientation="landscape" r:id="rId1"/>
  <ignoredErrors>
    <ignoredError sqref="J30:J3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008C0-DBEA-4E2C-93B2-562B0AB7CF6E}">
  <dimension ref="A1:R54"/>
  <sheetViews>
    <sheetView workbookViewId="0">
      <selection activeCell="L52" sqref="L52"/>
    </sheetView>
  </sheetViews>
  <sheetFormatPr defaultRowHeight="15" x14ac:dyDescent="0.25"/>
  <cols>
    <col min="1" max="1" width="14" bestFit="1" customWidth="1"/>
    <col min="2" max="2" width="35.140625" bestFit="1" customWidth="1"/>
    <col min="3" max="3" width="10.140625" customWidth="1"/>
    <col min="4" max="4" width="12.28515625" customWidth="1"/>
    <col min="5" max="5" width="13.140625" bestFit="1" customWidth="1"/>
    <col min="6" max="7" width="4.42578125" customWidth="1"/>
    <col min="8" max="8" width="16.42578125" customWidth="1"/>
    <col min="9" max="9" width="20.85546875" customWidth="1"/>
    <col min="10" max="10" width="12" customWidth="1"/>
    <col min="11" max="11" width="12.5703125" customWidth="1"/>
    <col min="12" max="12" width="15.28515625" customWidth="1"/>
    <col min="13" max="14" width="11.85546875" bestFit="1" customWidth="1"/>
    <col min="15" max="15" width="12.28515625" bestFit="1" customWidth="1"/>
    <col min="16" max="16" width="11.7109375" customWidth="1"/>
    <col min="17" max="17" width="14.5703125" customWidth="1"/>
    <col min="18" max="18" width="11.28515625" bestFit="1" customWidth="1"/>
  </cols>
  <sheetData>
    <row r="1" spans="1:17" ht="16.5" customHeight="1" x14ac:dyDescent="0.25">
      <c r="A1" s="205" t="s">
        <v>85</v>
      </c>
      <c r="B1" s="205"/>
      <c r="C1" s="205"/>
      <c r="D1" s="205"/>
      <c r="E1" s="205"/>
      <c r="F1" s="85"/>
      <c r="H1" s="205" t="s">
        <v>86</v>
      </c>
      <c r="I1" s="205"/>
      <c r="J1" s="205"/>
      <c r="K1" s="205"/>
      <c r="L1" s="205"/>
      <c r="M1" s="205"/>
      <c r="O1" s="86" t="s">
        <v>87</v>
      </c>
      <c r="P1" s="87" t="s">
        <v>88</v>
      </c>
      <c r="Q1" s="88" t="s">
        <v>89</v>
      </c>
    </row>
    <row r="2" spans="1:17" ht="45.75" thickBot="1" x14ac:dyDescent="0.3">
      <c r="A2" s="89" t="s">
        <v>90</v>
      </c>
      <c r="B2" s="89" t="s">
        <v>91</v>
      </c>
      <c r="C2" s="90" t="s">
        <v>92</v>
      </c>
      <c r="D2" s="91" t="s">
        <v>93</v>
      </c>
      <c r="E2" s="91" t="s">
        <v>94</v>
      </c>
      <c r="F2" s="92"/>
      <c r="H2" s="93" t="s">
        <v>95</v>
      </c>
      <c r="I2" s="93" t="s">
        <v>96</v>
      </c>
      <c r="J2" s="93" t="s">
        <v>97</v>
      </c>
      <c r="K2" s="93" t="s">
        <v>87</v>
      </c>
      <c r="L2" s="93" t="s">
        <v>89</v>
      </c>
      <c r="M2" s="93" t="s">
        <v>33</v>
      </c>
      <c r="O2" s="94">
        <v>0.47</v>
      </c>
      <c r="P2" s="95">
        <v>7.6499999999999999E-2</v>
      </c>
      <c r="Q2" s="96">
        <v>0.38500000000000001</v>
      </c>
    </row>
    <row r="3" spans="1:17" x14ac:dyDescent="0.25">
      <c r="A3" s="18"/>
      <c r="B3" s="18"/>
      <c r="C3" s="18"/>
      <c r="D3" s="91"/>
      <c r="E3" s="91">
        <v>2080</v>
      </c>
      <c r="F3" s="92"/>
      <c r="H3" s="97">
        <v>0.03</v>
      </c>
      <c r="I3" s="98"/>
      <c r="J3" s="98"/>
      <c r="K3" s="99">
        <f>O2</f>
        <v>0.47</v>
      </c>
      <c r="L3" s="100">
        <f>Q2</f>
        <v>0.38500000000000001</v>
      </c>
      <c r="M3" s="101"/>
    </row>
    <row r="4" spans="1:17" x14ac:dyDescent="0.25">
      <c r="A4" s="102" t="s">
        <v>98</v>
      </c>
      <c r="B4" s="102" t="s">
        <v>99</v>
      </c>
      <c r="C4" s="103" t="s">
        <v>100</v>
      </c>
      <c r="D4" s="104">
        <v>55.58</v>
      </c>
      <c r="E4" s="105">
        <f>ROUND(D4*$E$3,0)</f>
        <v>115606</v>
      </c>
      <c r="F4" s="106"/>
      <c r="H4" s="107">
        <f>ROUND(E4*(1+$H$3),0)</f>
        <v>119074</v>
      </c>
      <c r="I4" s="108">
        <v>0.3</v>
      </c>
      <c r="J4" s="107">
        <f>ROUND(H4*I4,0)</f>
        <v>35722</v>
      </c>
      <c r="K4" s="109">
        <f>ROUND(J4*$K$3,0)</f>
        <v>16789</v>
      </c>
      <c r="L4" s="109">
        <f>ROUND(J4*$L$3,0)</f>
        <v>13753</v>
      </c>
      <c r="M4" s="110">
        <f>SUM(J4:L4)</f>
        <v>66264</v>
      </c>
    </row>
    <row r="5" spans="1:17" x14ac:dyDescent="0.25">
      <c r="A5" s="102" t="s">
        <v>101</v>
      </c>
      <c r="B5" s="102" t="s">
        <v>102</v>
      </c>
      <c r="C5" s="111" t="s">
        <v>103</v>
      </c>
      <c r="D5" s="104">
        <v>51.36</v>
      </c>
      <c r="E5" s="105">
        <f t="shared" ref="E5:E7" si="0">ROUND(D5*$E$3,0)</f>
        <v>106829</v>
      </c>
      <c r="F5" s="106"/>
      <c r="H5" s="107">
        <f t="shared" ref="H5:H7" si="1">ROUND(E5*(1+$H$3),0)</f>
        <v>110034</v>
      </c>
      <c r="I5" s="108">
        <v>0.3</v>
      </c>
      <c r="J5" s="107">
        <f t="shared" ref="J5:J7" si="2">ROUND(H5*I5,0)</f>
        <v>33010</v>
      </c>
      <c r="K5" s="109">
        <f t="shared" ref="K5:K7" si="3">ROUND(J5*$K$3,0)</f>
        <v>15515</v>
      </c>
      <c r="L5" s="109">
        <f t="shared" ref="L5:L7" si="4">ROUND(J5*$L$3,0)</f>
        <v>12709</v>
      </c>
      <c r="M5" s="110">
        <f t="shared" ref="M5:M7" si="5">SUM(J5:L5)</f>
        <v>61234</v>
      </c>
    </row>
    <row r="6" spans="1:17" x14ac:dyDescent="0.25">
      <c r="A6" s="102" t="s">
        <v>104</v>
      </c>
      <c r="B6" s="102" t="s">
        <v>105</v>
      </c>
      <c r="C6" s="111" t="s">
        <v>106</v>
      </c>
      <c r="D6" s="104">
        <v>32.86</v>
      </c>
      <c r="E6" s="105">
        <f t="shared" si="0"/>
        <v>68349</v>
      </c>
      <c r="F6" s="106"/>
      <c r="H6" s="107">
        <f t="shared" si="1"/>
        <v>70399</v>
      </c>
      <c r="I6" s="108">
        <v>0.3</v>
      </c>
      <c r="J6" s="107">
        <f t="shared" si="2"/>
        <v>21120</v>
      </c>
      <c r="K6" s="109">
        <f t="shared" si="3"/>
        <v>9926</v>
      </c>
      <c r="L6" s="109">
        <f t="shared" si="4"/>
        <v>8131</v>
      </c>
      <c r="M6" s="110">
        <f t="shared" si="5"/>
        <v>39177</v>
      </c>
    </row>
    <row r="7" spans="1:17" x14ac:dyDescent="0.25">
      <c r="A7" s="102" t="s">
        <v>107</v>
      </c>
      <c r="B7" s="102" t="s">
        <v>108</v>
      </c>
      <c r="C7" s="111" t="s">
        <v>109</v>
      </c>
      <c r="D7" s="104">
        <v>75.59</v>
      </c>
      <c r="E7" s="105">
        <f t="shared" si="0"/>
        <v>157227</v>
      </c>
      <c r="F7" s="106"/>
      <c r="H7" s="107">
        <f t="shared" si="1"/>
        <v>161944</v>
      </c>
      <c r="I7" s="108">
        <v>0.2</v>
      </c>
      <c r="J7" s="107">
        <f t="shared" si="2"/>
        <v>32389</v>
      </c>
      <c r="K7" s="109">
        <f t="shared" si="3"/>
        <v>15223</v>
      </c>
      <c r="L7" s="109">
        <f t="shared" si="4"/>
        <v>12470</v>
      </c>
      <c r="M7" s="110">
        <f t="shared" si="5"/>
        <v>60082</v>
      </c>
    </row>
    <row r="8" spans="1:17" x14ac:dyDescent="0.25">
      <c r="E8" s="112"/>
      <c r="F8" s="112"/>
      <c r="H8" s="113" t="s">
        <v>33</v>
      </c>
      <c r="I8" s="114">
        <f>SUM(I4:I7)</f>
        <v>1.0999999999999999</v>
      </c>
      <c r="J8" s="115">
        <f>SUM(J4:J7)</f>
        <v>122241</v>
      </c>
      <c r="K8" s="115">
        <f>SUM(K4:K7)</f>
        <v>57453</v>
      </c>
      <c r="L8" s="115">
        <f>SUM(L4:L7)</f>
        <v>47063</v>
      </c>
      <c r="M8" s="115">
        <f>SUM(M4:M7)</f>
        <v>226757</v>
      </c>
    </row>
    <row r="11" spans="1:17" x14ac:dyDescent="0.25">
      <c r="H11" s="205" t="s">
        <v>110</v>
      </c>
      <c r="I11" s="205"/>
      <c r="J11" s="205"/>
      <c r="K11" s="205"/>
      <c r="L11" s="205"/>
      <c r="M11" s="205"/>
      <c r="N11" s="116"/>
    </row>
    <row r="12" spans="1:17" ht="45" x14ac:dyDescent="0.25">
      <c r="H12" s="93" t="s">
        <v>95</v>
      </c>
      <c r="I12" s="93" t="s">
        <v>96</v>
      </c>
      <c r="J12" s="93" t="s">
        <v>97</v>
      </c>
      <c r="K12" s="93" t="s">
        <v>87</v>
      </c>
      <c r="L12" s="93" t="s">
        <v>89</v>
      </c>
      <c r="M12" s="93" t="s">
        <v>33</v>
      </c>
      <c r="N12" s="117"/>
    </row>
    <row r="13" spans="1:17" x14ac:dyDescent="0.25">
      <c r="H13" s="97">
        <v>0.03</v>
      </c>
      <c r="I13" s="98"/>
      <c r="J13" s="98"/>
      <c r="K13" s="99">
        <f>O2</f>
        <v>0.47</v>
      </c>
      <c r="L13" s="100">
        <f>Q2</f>
        <v>0.38500000000000001</v>
      </c>
      <c r="M13" s="101"/>
    </row>
    <row r="14" spans="1:17" x14ac:dyDescent="0.25">
      <c r="H14" s="107">
        <f>ROUND(H4*(1+$H$13),0)</f>
        <v>122646</v>
      </c>
      <c r="I14" s="108">
        <v>0.3</v>
      </c>
      <c r="J14" s="107">
        <f>ROUND(H14*I14,0)</f>
        <v>36794</v>
      </c>
      <c r="K14" s="109">
        <f>ROUND(J14*$K$3,0)</f>
        <v>17293</v>
      </c>
      <c r="L14" s="109">
        <f>ROUND(J14*$L$3,0)</f>
        <v>14166</v>
      </c>
      <c r="M14" s="110">
        <f>SUM(J14:L14)</f>
        <v>68253</v>
      </c>
    </row>
    <row r="15" spans="1:17" x14ac:dyDescent="0.25">
      <c r="H15" s="107">
        <f t="shared" ref="H15:H17" si="6">ROUND(H5*(1+$H$13),0)</f>
        <v>113335</v>
      </c>
      <c r="I15" s="108">
        <v>0.3</v>
      </c>
      <c r="J15" s="107">
        <f t="shared" ref="J15:J17" si="7">ROUND(H15*I15,0)</f>
        <v>34001</v>
      </c>
      <c r="K15" s="109">
        <f t="shared" ref="K15:K17" si="8">ROUND(J15*$K$3,0)</f>
        <v>15980</v>
      </c>
      <c r="L15" s="109">
        <f t="shared" ref="L15:L17" si="9">ROUND(J15*$L$3,0)</f>
        <v>13090</v>
      </c>
      <c r="M15" s="110">
        <f t="shared" ref="M15:M17" si="10">SUM(J15:L15)</f>
        <v>63071</v>
      </c>
    </row>
    <row r="16" spans="1:17" x14ac:dyDescent="0.25">
      <c r="H16" s="107">
        <f t="shared" si="6"/>
        <v>72511</v>
      </c>
      <c r="I16" s="108">
        <v>0.3</v>
      </c>
      <c r="J16" s="107">
        <f t="shared" si="7"/>
        <v>21753</v>
      </c>
      <c r="K16" s="109">
        <f t="shared" si="8"/>
        <v>10224</v>
      </c>
      <c r="L16" s="109">
        <f t="shared" si="9"/>
        <v>8375</v>
      </c>
      <c r="M16" s="110">
        <f t="shared" si="10"/>
        <v>40352</v>
      </c>
    </row>
    <row r="17" spans="8:15" x14ac:dyDescent="0.25">
      <c r="H17" s="107">
        <f t="shared" si="6"/>
        <v>166802</v>
      </c>
      <c r="I17" s="108">
        <v>0.1</v>
      </c>
      <c r="J17" s="107">
        <f t="shared" si="7"/>
        <v>16680</v>
      </c>
      <c r="K17" s="109">
        <f t="shared" si="8"/>
        <v>7840</v>
      </c>
      <c r="L17" s="109">
        <f t="shared" si="9"/>
        <v>6422</v>
      </c>
      <c r="M17" s="110">
        <f t="shared" si="10"/>
        <v>30942</v>
      </c>
    </row>
    <row r="18" spans="8:15" x14ac:dyDescent="0.25">
      <c r="H18" s="113" t="s">
        <v>33</v>
      </c>
      <c r="I18" s="114">
        <f>SUM(I14:I17)</f>
        <v>0.99999999999999989</v>
      </c>
      <c r="J18" s="115">
        <f>SUM(J14:J17)</f>
        <v>109228</v>
      </c>
      <c r="K18" s="115">
        <f>SUM(K14:K17)</f>
        <v>51337</v>
      </c>
      <c r="L18" s="115">
        <f>SUM(L14:L17)</f>
        <v>42053</v>
      </c>
      <c r="M18" s="115">
        <f>SUM(M14:M17)</f>
        <v>202618</v>
      </c>
    </row>
    <row r="21" spans="8:15" x14ac:dyDescent="0.25">
      <c r="H21" s="205" t="s">
        <v>111</v>
      </c>
      <c r="I21" s="205"/>
      <c r="J21" s="205"/>
      <c r="K21" s="205"/>
      <c r="L21" s="205"/>
      <c r="M21" s="205"/>
      <c r="N21" s="116"/>
    </row>
    <row r="22" spans="8:15" ht="45" x14ac:dyDescent="0.25">
      <c r="H22" s="93" t="s">
        <v>112</v>
      </c>
      <c r="I22" s="93" t="s">
        <v>96</v>
      </c>
      <c r="J22" s="93" t="s">
        <v>97</v>
      </c>
      <c r="K22" s="93" t="s">
        <v>87</v>
      </c>
      <c r="L22" s="93" t="s">
        <v>89</v>
      </c>
      <c r="M22" s="93" t="s">
        <v>33</v>
      </c>
      <c r="N22" s="117"/>
    </row>
    <row r="23" spans="8:15" x14ac:dyDescent="0.25">
      <c r="H23" s="97">
        <v>0</v>
      </c>
      <c r="I23" s="98"/>
      <c r="J23" s="98"/>
      <c r="K23" s="99">
        <f>O2</f>
        <v>0.47</v>
      </c>
      <c r="L23" s="100">
        <f>Q2</f>
        <v>0.38500000000000001</v>
      </c>
      <c r="M23" s="101"/>
    </row>
    <row r="24" spans="8:15" x14ac:dyDescent="0.25">
      <c r="H24" s="107">
        <f>ROUND(H14*(1+$H$23),0)</f>
        <v>122646</v>
      </c>
      <c r="I24" s="108">
        <v>0.3</v>
      </c>
      <c r="J24" s="107">
        <f>ROUND(H24*I24,0)</f>
        <v>36794</v>
      </c>
      <c r="K24" s="109">
        <f>ROUND(J24*$K$3,0)</f>
        <v>17293</v>
      </c>
      <c r="L24" s="109">
        <f>ROUND(J24*$L$3,0)</f>
        <v>14166</v>
      </c>
      <c r="M24" s="110">
        <f>SUM(J24:L24)</f>
        <v>68253</v>
      </c>
    </row>
    <row r="25" spans="8:15" x14ac:dyDescent="0.25">
      <c r="H25" s="107">
        <f t="shared" ref="H25:H27" si="11">ROUND(H15*(1+$H$23),0)</f>
        <v>113335</v>
      </c>
      <c r="I25" s="108">
        <v>0.3</v>
      </c>
      <c r="J25" s="107">
        <f t="shared" ref="J25:J27" si="12">ROUND(H25*I25,0)</f>
        <v>34001</v>
      </c>
      <c r="K25" s="109">
        <f t="shared" ref="K25:K27" si="13">ROUND(J25*$K$3,0)</f>
        <v>15980</v>
      </c>
      <c r="L25" s="109">
        <f t="shared" ref="L25:L27" si="14">ROUND(J25*$L$3,0)</f>
        <v>13090</v>
      </c>
      <c r="M25" s="110">
        <f t="shared" ref="M25:M27" si="15">SUM(J25:L25)</f>
        <v>63071</v>
      </c>
    </row>
    <row r="26" spans="8:15" x14ac:dyDescent="0.25">
      <c r="H26" s="107">
        <f t="shared" si="11"/>
        <v>72511</v>
      </c>
      <c r="I26" s="108">
        <v>0.3</v>
      </c>
      <c r="J26" s="107">
        <f>ROUND(H26*I26,0)+1</f>
        <v>21754</v>
      </c>
      <c r="K26" s="109">
        <f t="shared" si="13"/>
        <v>10224</v>
      </c>
      <c r="L26" s="109">
        <f>ROUNDDOWN(J26*$L$3,0)</f>
        <v>8375</v>
      </c>
      <c r="M26" s="110">
        <f t="shared" si="15"/>
        <v>40353</v>
      </c>
    </row>
    <row r="27" spans="8:15" x14ac:dyDescent="0.25">
      <c r="H27" s="107">
        <f t="shared" si="11"/>
        <v>166802</v>
      </c>
      <c r="I27" s="108">
        <v>0.1</v>
      </c>
      <c r="J27" s="107">
        <f t="shared" si="12"/>
        <v>16680</v>
      </c>
      <c r="K27" s="109">
        <f t="shared" si="13"/>
        <v>7840</v>
      </c>
      <c r="L27" s="109">
        <f t="shared" si="14"/>
        <v>6422</v>
      </c>
      <c r="M27" s="110">
        <f t="shared" si="15"/>
        <v>30942</v>
      </c>
    </row>
    <row r="28" spans="8:15" x14ac:dyDescent="0.25">
      <c r="H28" s="113" t="s">
        <v>33</v>
      </c>
      <c r="I28" s="114">
        <f>SUM(I24:I27)</f>
        <v>0.99999999999999989</v>
      </c>
      <c r="J28" s="115">
        <f>SUM(J24:J27)</f>
        <v>109229</v>
      </c>
      <c r="K28" s="115">
        <f>SUM(K24:K27)</f>
        <v>51337</v>
      </c>
      <c r="L28" s="115">
        <f>SUM(L24:L27)</f>
        <v>42053</v>
      </c>
      <c r="M28" s="115">
        <f>SUM(M24:M27)</f>
        <v>202619</v>
      </c>
      <c r="O28" s="118"/>
    </row>
    <row r="31" spans="8:15" x14ac:dyDescent="0.25">
      <c r="H31" s="205" t="s">
        <v>113</v>
      </c>
      <c r="I31" s="205"/>
      <c r="J31" s="205"/>
      <c r="K31" s="205"/>
      <c r="L31" s="205"/>
      <c r="M31" s="205"/>
      <c r="N31" s="116"/>
    </row>
    <row r="32" spans="8:15" ht="45" x14ac:dyDescent="0.25">
      <c r="H32" s="93" t="s">
        <v>112</v>
      </c>
      <c r="I32" s="93" t="s">
        <v>96</v>
      </c>
      <c r="J32" s="93" t="s">
        <v>97</v>
      </c>
      <c r="K32" s="93" t="s">
        <v>87</v>
      </c>
      <c r="L32" s="93" t="s">
        <v>89</v>
      </c>
      <c r="M32" s="93" t="s">
        <v>33</v>
      </c>
      <c r="N32" s="117"/>
    </row>
    <row r="33" spans="8:14" x14ac:dyDescent="0.25">
      <c r="H33" s="97">
        <v>0</v>
      </c>
      <c r="I33" s="98"/>
      <c r="J33" s="98"/>
      <c r="K33" s="99">
        <f>O2</f>
        <v>0.47</v>
      </c>
      <c r="L33" s="100">
        <f>Q2</f>
        <v>0.38500000000000001</v>
      </c>
      <c r="M33" s="101"/>
    </row>
    <row r="34" spans="8:14" x14ac:dyDescent="0.25">
      <c r="H34" s="107">
        <f>ROUND(H24*(1+$H$33),0)</f>
        <v>122646</v>
      </c>
      <c r="I34" s="108">
        <v>0.3</v>
      </c>
      <c r="J34" s="107">
        <f>ROUND(H34*I34,0)</f>
        <v>36794</v>
      </c>
      <c r="K34" s="109">
        <f>ROUND(J34*$K$3,0)</f>
        <v>17293</v>
      </c>
      <c r="L34" s="109">
        <f>ROUND(J34*$L$3,0)</f>
        <v>14166</v>
      </c>
      <c r="M34" s="110">
        <f>SUM(J34:L34)</f>
        <v>68253</v>
      </c>
    </row>
    <row r="35" spans="8:14" x14ac:dyDescent="0.25">
      <c r="H35" s="107">
        <f t="shared" ref="H35:H37" si="16">ROUND(H25*(1+$H$33),0)</f>
        <v>113335</v>
      </c>
      <c r="I35" s="108">
        <v>0.3</v>
      </c>
      <c r="J35" s="107">
        <f t="shared" ref="J35:J37" si="17">ROUND(H35*I35,0)</f>
        <v>34001</v>
      </c>
      <c r="K35" s="109">
        <f t="shared" ref="K35:K37" si="18">ROUND(J35*$K$3,0)</f>
        <v>15980</v>
      </c>
      <c r="L35" s="109">
        <f t="shared" ref="L35:L37" si="19">ROUND(J35*$L$3,0)</f>
        <v>13090</v>
      </c>
      <c r="M35" s="110">
        <f t="shared" ref="M35:M37" si="20">SUM(J35:L35)</f>
        <v>63071</v>
      </c>
    </row>
    <row r="36" spans="8:14" x14ac:dyDescent="0.25">
      <c r="H36" s="107">
        <f t="shared" si="16"/>
        <v>72511</v>
      </c>
      <c r="I36" s="108">
        <v>0.3</v>
      </c>
      <c r="J36" s="107">
        <f t="shared" si="17"/>
        <v>21753</v>
      </c>
      <c r="K36" s="109">
        <f t="shared" si="18"/>
        <v>10224</v>
      </c>
      <c r="L36" s="109">
        <f t="shared" si="19"/>
        <v>8375</v>
      </c>
      <c r="M36" s="110">
        <f t="shared" si="20"/>
        <v>40352</v>
      </c>
    </row>
    <row r="37" spans="8:14" x14ac:dyDescent="0.25">
      <c r="H37" s="107">
        <f t="shared" si="16"/>
        <v>166802</v>
      </c>
      <c r="I37" s="108">
        <v>0.1</v>
      </c>
      <c r="J37" s="107">
        <f t="shared" si="17"/>
        <v>16680</v>
      </c>
      <c r="K37" s="109">
        <f t="shared" si="18"/>
        <v>7840</v>
      </c>
      <c r="L37" s="109">
        <f t="shared" si="19"/>
        <v>6422</v>
      </c>
      <c r="M37" s="110">
        <f t="shared" si="20"/>
        <v>30942</v>
      </c>
    </row>
    <row r="38" spans="8:14" x14ac:dyDescent="0.25">
      <c r="H38" s="113" t="s">
        <v>33</v>
      </c>
      <c r="I38" s="114">
        <f>SUM(I34:I37)</f>
        <v>0.99999999999999989</v>
      </c>
      <c r="J38" s="115">
        <f>SUM(J34:J37)</f>
        <v>109228</v>
      </c>
      <c r="K38" s="115">
        <f>SUM(K34:K37)</f>
        <v>51337</v>
      </c>
      <c r="L38" s="115">
        <f>SUM(L34:L37)</f>
        <v>42053</v>
      </c>
      <c r="M38" s="115">
        <f>SUM(M34:M37)</f>
        <v>202618</v>
      </c>
    </row>
    <row r="41" spans="8:14" x14ac:dyDescent="0.25">
      <c r="H41" s="202" t="s">
        <v>114</v>
      </c>
      <c r="I41" s="203"/>
      <c r="J41" s="203"/>
      <c r="K41" s="203"/>
      <c r="L41" s="203"/>
      <c r="M41" s="204"/>
      <c r="N41" s="116"/>
    </row>
    <row r="42" spans="8:14" ht="45" x14ac:dyDescent="0.25">
      <c r="H42" s="93" t="s">
        <v>112</v>
      </c>
      <c r="I42" s="93" t="s">
        <v>96</v>
      </c>
      <c r="J42" s="93" t="s">
        <v>97</v>
      </c>
      <c r="K42" s="93" t="s">
        <v>87</v>
      </c>
      <c r="L42" s="93" t="s">
        <v>89</v>
      </c>
      <c r="M42" s="93" t="s">
        <v>33</v>
      </c>
      <c r="N42" s="117"/>
    </row>
    <row r="43" spans="8:14" x14ac:dyDescent="0.25">
      <c r="H43" s="97">
        <v>0</v>
      </c>
      <c r="I43" s="98"/>
      <c r="J43" s="98"/>
      <c r="K43" s="99">
        <f>O2</f>
        <v>0.47</v>
      </c>
      <c r="L43" s="100">
        <f>Q2</f>
        <v>0.38500000000000001</v>
      </c>
      <c r="M43" s="101"/>
    </row>
    <row r="44" spans="8:14" x14ac:dyDescent="0.25">
      <c r="H44" s="107">
        <f>ROUND(H34*(1+$H$43),0)</f>
        <v>122646</v>
      </c>
      <c r="I44" s="108">
        <v>0.3</v>
      </c>
      <c r="J44" s="107">
        <f>ROUND(H44*I44,0)</f>
        <v>36794</v>
      </c>
      <c r="K44" s="109">
        <f>ROUND(J44*$K$3,0)</f>
        <v>17293</v>
      </c>
      <c r="L44" s="109">
        <f>ROUND(J44*$L$3,0)</f>
        <v>14166</v>
      </c>
      <c r="M44" s="110">
        <f>SUM(J44:L44)</f>
        <v>68253</v>
      </c>
    </row>
    <row r="45" spans="8:14" x14ac:dyDescent="0.25">
      <c r="H45" s="107">
        <f t="shared" ref="H45:H47" si="21">ROUND(H35*(1+$H$43),0)</f>
        <v>113335</v>
      </c>
      <c r="I45" s="108">
        <v>0.3</v>
      </c>
      <c r="J45" s="107">
        <f t="shared" ref="J45:J47" si="22">ROUND(H45*I45,0)</f>
        <v>34001</v>
      </c>
      <c r="K45" s="109">
        <f t="shared" ref="K45:K47" si="23">ROUND(J45*$K$3,0)</f>
        <v>15980</v>
      </c>
      <c r="L45" s="109">
        <f t="shared" ref="L45:L47" si="24">ROUND(J45*$L$3,0)</f>
        <v>13090</v>
      </c>
      <c r="M45" s="110">
        <f t="shared" ref="M45:M47" si="25">SUM(J45:L45)</f>
        <v>63071</v>
      </c>
    </row>
    <row r="46" spans="8:14" x14ac:dyDescent="0.25">
      <c r="H46" s="107">
        <f t="shared" si="21"/>
        <v>72511</v>
      </c>
      <c r="I46" s="108">
        <v>0.3</v>
      </c>
      <c r="J46" s="107">
        <f t="shared" si="22"/>
        <v>21753</v>
      </c>
      <c r="K46" s="109">
        <f t="shared" si="23"/>
        <v>10224</v>
      </c>
      <c r="L46" s="109">
        <f>ROUND(J46*$L$3,0)</f>
        <v>8375</v>
      </c>
      <c r="M46" s="110">
        <f t="shared" si="25"/>
        <v>40352</v>
      </c>
    </row>
    <row r="47" spans="8:14" x14ac:dyDescent="0.25">
      <c r="H47" s="107">
        <f t="shared" si="21"/>
        <v>166802</v>
      </c>
      <c r="I47" s="108">
        <v>0.1</v>
      </c>
      <c r="J47" s="107">
        <f t="shared" si="22"/>
        <v>16680</v>
      </c>
      <c r="K47" s="109">
        <f t="shared" si="23"/>
        <v>7840</v>
      </c>
      <c r="L47" s="109">
        <f t="shared" si="24"/>
        <v>6422</v>
      </c>
      <c r="M47" s="110">
        <f t="shared" si="25"/>
        <v>30942</v>
      </c>
    </row>
    <row r="48" spans="8:14" x14ac:dyDescent="0.25">
      <c r="H48" s="113" t="s">
        <v>33</v>
      </c>
      <c r="I48" s="114">
        <f>SUM(I44:I47)</f>
        <v>0.99999999999999989</v>
      </c>
      <c r="J48" s="115">
        <f>SUM(J44:J47)</f>
        <v>109228</v>
      </c>
      <c r="K48" s="115">
        <f>SUM(K44:K47)</f>
        <v>51337</v>
      </c>
      <c r="L48" s="115">
        <f>SUM(L44:L47)</f>
        <v>42053</v>
      </c>
      <c r="M48" s="115">
        <f>SUM(M44:M47)</f>
        <v>202618</v>
      </c>
    </row>
    <row r="51" spans="8:18" x14ac:dyDescent="0.25">
      <c r="H51" s="17" t="s">
        <v>115</v>
      </c>
      <c r="I51" s="119">
        <f>I8+I18+I28+I38+I48</f>
        <v>5.0999999999999996</v>
      </c>
      <c r="J51" s="120">
        <f>J8+J18+J28+J38+J48</f>
        <v>559154</v>
      </c>
      <c r="K51" s="120">
        <f>K8+K18+K28+K38+K48</f>
        <v>262801</v>
      </c>
      <c r="L51" s="120">
        <f>L8+L18+L28+L38+L48</f>
        <v>215275</v>
      </c>
      <c r="M51" s="120">
        <f>M8+M18+M28+M38+M48</f>
        <v>1037230</v>
      </c>
      <c r="O51" s="149"/>
      <c r="P51" s="149"/>
      <c r="Q51" s="149"/>
      <c r="R51" s="149"/>
    </row>
    <row r="52" spans="8:18" x14ac:dyDescent="0.25">
      <c r="O52" s="150"/>
      <c r="Q52" s="150"/>
      <c r="R52" s="150"/>
    </row>
    <row r="53" spans="8:18" x14ac:dyDescent="0.25">
      <c r="O53" s="167"/>
    </row>
    <row r="54" spans="8:18" x14ac:dyDescent="0.25">
      <c r="O54" s="167"/>
    </row>
  </sheetData>
  <mergeCells count="6">
    <mergeCell ref="H41:M41"/>
    <mergeCell ref="A1:E1"/>
    <mergeCell ref="H1:M1"/>
    <mergeCell ref="H11:M11"/>
    <mergeCell ref="H21:M21"/>
    <mergeCell ref="H31:M31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30B6F-3E14-494C-88A2-EC77D54B252A}">
  <dimension ref="A1:G13"/>
  <sheetViews>
    <sheetView zoomScale="120" zoomScaleNormal="120" workbookViewId="0">
      <selection activeCell="C14" sqref="C14"/>
    </sheetView>
  </sheetViews>
  <sheetFormatPr defaultRowHeight="15" x14ac:dyDescent="0.25"/>
  <cols>
    <col min="1" max="1" width="44" bestFit="1" customWidth="1"/>
    <col min="2" max="2" width="28.85546875" customWidth="1"/>
    <col min="3" max="3" width="23.28515625" bestFit="1" customWidth="1"/>
    <col min="4" max="4" width="7" bestFit="1" customWidth="1"/>
    <col min="5" max="5" width="28" bestFit="1" customWidth="1"/>
    <col min="6" max="6" width="17.7109375" bestFit="1" customWidth="1"/>
    <col min="7" max="7" width="11.28515625" customWidth="1"/>
  </cols>
  <sheetData>
    <row r="1" spans="1:7" x14ac:dyDescent="0.25">
      <c r="A1" s="121" t="s">
        <v>116</v>
      </c>
      <c r="B1" s="122" t="s">
        <v>117</v>
      </c>
      <c r="C1" s="123" t="s">
        <v>118</v>
      </c>
      <c r="D1" s="122" t="s">
        <v>119</v>
      </c>
      <c r="E1" s="122" t="s">
        <v>120</v>
      </c>
      <c r="F1" s="122" t="s">
        <v>121</v>
      </c>
      <c r="G1" s="122" t="s">
        <v>26</v>
      </c>
    </row>
    <row r="2" spans="1:7" ht="14.45" customHeight="1" x14ac:dyDescent="0.25">
      <c r="A2" s="206" t="s">
        <v>122</v>
      </c>
      <c r="B2" s="209" t="s">
        <v>123</v>
      </c>
      <c r="C2" s="124" t="s">
        <v>124</v>
      </c>
      <c r="D2" s="125">
        <v>107</v>
      </c>
      <c r="E2" s="126">
        <v>2</v>
      </c>
      <c r="F2" s="126">
        <v>3</v>
      </c>
      <c r="G2" s="127">
        <f>ROUND((D2*E2)*F2,0)</f>
        <v>642</v>
      </c>
    </row>
    <row r="3" spans="1:7" x14ac:dyDescent="0.25">
      <c r="A3" s="207"/>
      <c r="B3" s="209"/>
      <c r="C3" s="128" t="s">
        <v>125</v>
      </c>
      <c r="D3" s="125">
        <v>44</v>
      </c>
      <c r="E3" s="126">
        <v>2</v>
      </c>
      <c r="F3" s="126">
        <v>3</v>
      </c>
      <c r="G3" s="127">
        <f>ROUND((D3*E3)*F3,0)</f>
        <v>264</v>
      </c>
    </row>
    <row r="4" spans="1:7" x14ac:dyDescent="0.25">
      <c r="A4" s="207"/>
      <c r="B4" s="209"/>
      <c r="C4" s="128" t="s">
        <v>126</v>
      </c>
      <c r="D4" s="129">
        <v>0.67</v>
      </c>
      <c r="E4" s="126">
        <f>310*2</f>
        <v>620</v>
      </c>
      <c r="F4" s="126">
        <v>3</v>
      </c>
      <c r="G4" s="127">
        <f>ROUND((D4*E4)*F4,0)</f>
        <v>1246</v>
      </c>
    </row>
    <row r="5" spans="1:7" x14ac:dyDescent="0.25">
      <c r="A5" s="207"/>
      <c r="B5" s="209"/>
      <c r="C5" s="210" t="s">
        <v>127</v>
      </c>
      <c r="D5" s="211"/>
      <c r="E5" s="211"/>
      <c r="F5" s="212"/>
      <c r="G5" s="130">
        <f>SUM(G2:G4)</f>
        <v>2152</v>
      </c>
    </row>
    <row r="6" spans="1:7" x14ac:dyDescent="0.25">
      <c r="A6" s="207"/>
      <c r="B6" s="209" t="s">
        <v>128</v>
      </c>
      <c r="C6" s="123" t="s">
        <v>118</v>
      </c>
      <c r="D6" s="122" t="s">
        <v>119</v>
      </c>
      <c r="E6" s="122" t="s">
        <v>120</v>
      </c>
      <c r="F6" s="122" t="s">
        <v>121</v>
      </c>
      <c r="G6" s="122" t="s">
        <v>26</v>
      </c>
    </row>
    <row r="7" spans="1:7" x14ac:dyDescent="0.25">
      <c r="A7" s="207"/>
      <c r="B7" s="209"/>
      <c r="C7" s="124" t="s">
        <v>129</v>
      </c>
      <c r="D7" s="125">
        <v>130</v>
      </c>
      <c r="E7" s="126">
        <v>2</v>
      </c>
      <c r="F7" s="126">
        <v>3</v>
      </c>
      <c r="G7" s="127">
        <f>ROUND((D7*E7)*F7,0)</f>
        <v>780</v>
      </c>
    </row>
    <row r="8" spans="1:7" x14ac:dyDescent="0.25">
      <c r="A8" s="207"/>
      <c r="B8" s="209"/>
      <c r="C8" s="128" t="s">
        <v>130</v>
      </c>
      <c r="D8" s="125">
        <v>48</v>
      </c>
      <c r="E8" s="126">
        <v>2</v>
      </c>
      <c r="F8" s="126">
        <v>3</v>
      </c>
      <c r="G8" s="127">
        <f>ROUND((D8*E8)*F8,0)</f>
        <v>288</v>
      </c>
    </row>
    <row r="9" spans="1:7" x14ac:dyDescent="0.25">
      <c r="A9" s="207"/>
      <c r="B9" s="209"/>
      <c r="C9" s="128" t="s">
        <v>126</v>
      </c>
      <c r="D9" s="129">
        <v>0.67</v>
      </c>
      <c r="E9" s="126">
        <f>(194*2)</f>
        <v>388</v>
      </c>
      <c r="F9" s="126">
        <v>3</v>
      </c>
      <c r="G9" s="127">
        <f>ROUND((D9*E9)*F9,0)</f>
        <v>780</v>
      </c>
    </row>
    <row r="10" spans="1:7" x14ac:dyDescent="0.25">
      <c r="A10" s="208"/>
      <c r="B10" s="209"/>
      <c r="C10" s="210" t="s">
        <v>127</v>
      </c>
      <c r="D10" s="211"/>
      <c r="E10" s="211"/>
      <c r="F10" s="212"/>
      <c r="G10" s="130">
        <f>SUM(G7:G9)</f>
        <v>1848</v>
      </c>
    </row>
    <row r="12" spans="1:7" x14ac:dyDescent="0.25">
      <c r="C12">
        <f>(107+130)/2</f>
        <v>118.5</v>
      </c>
    </row>
    <row r="13" spans="1:7" x14ac:dyDescent="0.25">
      <c r="C13">
        <f>(44+48)/2</f>
        <v>46</v>
      </c>
      <c r="E13" s="131"/>
      <c r="F13" s="1" t="s">
        <v>131</v>
      </c>
      <c r="G13" s="132">
        <f>SUM(G5,G10)</f>
        <v>4000</v>
      </c>
    </row>
  </sheetData>
  <mergeCells count="5">
    <mergeCell ref="A2:A10"/>
    <mergeCell ref="B2:B5"/>
    <mergeCell ref="C5:F5"/>
    <mergeCell ref="B6:B10"/>
    <mergeCell ref="C10:F10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8515625" defaultRowHeight="15" x14ac:dyDescent="0.25"/>
  <cols>
    <col min="1" max="1" width="3.28515625" customWidth="1"/>
    <col min="2" max="2" width="10" customWidth="1"/>
    <col min="3" max="3" width="46.7109375" customWidth="1"/>
    <col min="4" max="4" width="12.7109375" style="6" customWidth="1"/>
    <col min="5" max="5" width="12.42578125" style="2" customWidth="1"/>
    <col min="6" max="6" width="12.7109375" customWidth="1"/>
    <col min="7" max="7" width="12.42578125" customWidth="1"/>
    <col min="8" max="8" width="12.7109375" style="2" customWidth="1"/>
    <col min="9" max="9" width="0.7109375" style="7" customWidth="1"/>
    <col min="10" max="10" width="12.7109375" bestFit="1" customWidth="1"/>
    <col min="11" max="11" width="10.28515625" customWidth="1"/>
  </cols>
  <sheetData>
    <row r="2" spans="2:39" ht="23.25" x14ac:dyDescent="0.35">
      <c r="B2" s="30" t="s">
        <v>132</v>
      </c>
    </row>
    <row r="3" spans="2:39" x14ac:dyDescent="0.25">
      <c r="B3" s="50" t="s">
        <v>35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42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44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47</v>
      </c>
      <c r="E19" s="11" t="s">
        <v>47</v>
      </c>
      <c r="F19" s="11" t="s">
        <v>47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47</v>
      </c>
      <c r="C30" s="28" t="s">
        <v>47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48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49</v>
      </c>
      <c r="D36" s="13" t="s">
        <v>37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133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134</v>
      </c>
      <c r="D42" s="13" t="s">
        <v>37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51" t="s">
        <v>73</v>
      </c>
      <c r="C52" s="17" t="s">
        <v>73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8515625" defaultRowHeight="15" x14ac:dyDescent="0.25"/>
  <cols>
    <col min="1" max="1" width="3.28515625" customWidth="1"/>
    <col min="2" max="2" width="11.28515625" customWidth="1"/>
    <col min="3" max="3" width="46.42578125" customWidth="1"/>
    <col min="4" max="4" width="13.28515625" style="6" customWidth="1"/>
    <col min="5" max="5" width="13.28515625" style="2" customWidth="1"/>
    <col min="6" max="7" width="13.28515625" customWidth="1"/>
    <col min="8" max="8" width="12.7109375" style="2" customWidth="1"/>
    <col min="9" max="9" width="0.7109375" style="7" customWidth="1"/>
    <col min="10" max="10" width="14.5703125" customWidth="1"/>
    <col min="11" max="11" width="10.28515625" customWidth="1"/>
  </cols>
  <sheetData>
    <row r="2" spans="2:39" ht="23.25" x14ac:dyDescent="0.35">
      <c r="B2" s="30" t="s">
        <v>132</v>
      </c>
    </row>
    <row r="3" spans="2:39" x14ac:dyDescent="0.25">
      <c r="B3" s="50" t="s">
        <v>35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36</v>
      </c>
      <c r="D7" s="10" t="s">
        <v>37</v>
      </c>
      <c r="E7" s="10" t="s">
        <v>37</v>
      </c>
      <c r="F7" s="10" t="s">
        <v>37</v>
      </c>
      <c r="G7" s="10"/>
      <c r="H7" s="10" t="s">
        <v>37</v>
      </c>
      <c r="I7" s="7"/>
      <c r="J7" s="8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42</v>
      </c>
      <c r="D12" s="13" t="s">
        <v>37</v>
      </c>
      <c r="E12" s="10"/>
      <c r="F12" s="10"/>
      <c r="G12" s="10"/>
      <c r="H12" s="10"/>
      <c r="J12" s="8" t="s">
        <v>37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44</v>
      </c>
      <c r="D17" s="13" t="s">
        <v>37</v>
      </c>
      <c r="E17" s="10"/>
      <c r="F17" s="10"/>
      <c r="G17" s="10"/>
      <c r="H17" s="10"/>
      <c r="J17" s="8" t="s">
        <v>37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46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47</v>
      </c>
      <c r="C30" s="28" t="s">
        <v>47</v>
      </c>
      <c r="D30" s="13" t="s">
        <v>37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48</v>
      </c>
      <c r="D32" s="13" t="s">
        <v>37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49</v>
      </c>
      <c r="D36" s="13" t="s">
        <v>37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50</v>
      </c>
      <c r="D42" s="13" t="s">
        <v>37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51" t="s">
        <v>73</v>
      </c>
      <c r="C52" s="17" t="s">
        <v>73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Overview</vt:lpstr>
      <vt:lpstr>Consolidated Budget</vt:lpstr>
      <vt:lpstr>Project 1 Budget</vt:lpstr>
      <vt:lpstr>Project 2 Budget</vt:lpstr>
      <vt:lpstr>Project 3 Budget</vt:lpstr>
      <vt:lpstr>DEQ Staff Costs</vt:lpstr>
      <vt:lpstr>Travel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2024-04-01T21:24:44Z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