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shcoor-my.sharepoint.com/personal/andrew_crampton_co_washington_or_us/Documents/CPRG/"/>
    </mc:Choice>
  </mc:AlternateContent>
  <xr:revisionPtr revIDLastSave="18" documentId="13_ncr:1_{7ACAD4E4-8175-4EE1-99D8-21894B195C83}" xr6:coauthVersionLast="47" xr6:coauthVersionMax="47" xr10:uidLastSave="{4BDF96BF-E12E-44C5-9823-1277F178EB5E}"/>
  <bookViews>
    <workbookView xWindow="57480" yWindow="-120" windowWidth="29040" windowHeight="15840" activeTab="4" xr2:uid="{10B5E488-F48D-43FF-9122-E49613403245}"/>
  </bookViews>
  <sheets>
    <sheet name="GHG Mitigation and Cost Summary" sheetId="6" r:id="rId1"/>
    <sheet name="GHG Reduction (Buildings)" sheetId="1" r:id="rId2"/>
    <sheet name="GHG Reduction (Trees)" sheetId="7" r:id="rId3"/>
    <sheet name="Co-Pollutant Estimates" sheetId="2" r:id="rId4"/>
    <sheet name="Assumptions and References" sheetId="8" r:id="rId5"/>
  </sheets>
  <definedNames>
    <definedName name="_xlnm.Print_Area" localSheetId="4">'Assumptions and References'!$A$1:$P$57</definedName>
    <definedName name="_xlnm.Print_Area" localSheetId="2">'GHG Reduction (Trees)'!$A$1:$G$97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K6" i="8"/>
  <c r="I7" i="8"/>
  <c r="I6" i="8"/>
  <c r="K8" i="8"/>
  <c r="K55" i="8"/>
  <c r="K54" i="8"/>
  <c r="K53" i="8"/>
  <c r="K52" i="8"/>
  <c r="K51" i="8"/>
  <c r="K50" i="8"/>
  <c r="K49" i="8"/>
  <c r="K48" i="8"/>
  <c r="K47" i="8"/>
  <c r="K46" i="8"/>
  <c r="C26" i="2"/>
  <c r="C21" i="2"/>
  <c r="K6" i="2"/>
  <c r="C22" i="2" s="1"/>
  <c r="K7" i="2"/>
  <c r="C23" i="2" s="1"/>
  <c r="K8" i="2"/>
  <c r="C24" i="2" s="1"/>
  <c r="K9" i="2"/>
  <c r="C25" i="2" s="1"/>
  <c r="K10" i="2"/>
  <c r="K11" i="2"/>
  <c r="C27" i="2" s="1"/>
  <c r="K12" i="2"/>
  <c r="C28" i="2" s="1"/>
  <c r="K13" i="2"/>
  <c r="C29" i="2" s="1"/>
  <c r="K14" i="2"/>
  <c r="C30" i="2" s="1"/>
  <c r="K5" i="2"/>
  <c r="K22" i="6"/>
  <c r="K10" i="6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10" i="7"/>
  <c r="E9" i="7"/>
  <c r="E8" i="7"/>
  <c r="E7" i="7"/>
  <c r="F7" i="7" s="1"/>
  <c r="F32" i="1"/>
  <c r="L96" i="1"/>
  <c r="K96" i="1"/>
  <c r="J96" i="1"/>
  <c r="G96" i="1"/>
  <c r="F96" i="1"/>
  <c r="L64" i="1"/>
  <c r="K64" i="1"/>
  <c r="J64" i="1"/>
  <c r="G64" i="1"/>
  <c r="F64" i="1"/>
  <c r="J32" i="1"/>
  <c r="G32" i="1"/>
  <c r="K32" i="1"/>
  <c r="F23" i="6"/>
  <c r="F21" i="6"/>
  <c r="F19" i="6"/>
  <c r="F25" i="6" s="1"/>
  <c r="F11" i="6"/>
  <c r="F9" i="6"/>
  <c r="F7" i="6"/>
  <c r="F13" i="6" s="1"/>
  <c r="F90" i="1"/>
  <c r="G90" i="1"/>
  <c r="F91" i="1"/>
  <c r="G91" i="1"/>
  <c r="F92" i="1"/>
  <c r="G92" i="1"/>
  <c r="F93" i="1"/>
  <c r="G93" i="1"/>
  <c r="F94" i="1"/>
  <c r="L94" i="1" s="1"/>
  <c r="G94" i="1"/>
  <c r="F95" i="1"/>
  <c r="G95" i="1"/>
  <c r="F89" i="1"/>
  <c r="L89" i="1" s="1"/>
  <c r="M89" i="1" s="1"/>
  <c r="G89" i="1"/>
  <c r="L87" i="1"/>
  <c r="M87" i="1"/>
  <c r="L88" i="1"/>
  <c r="M88" i="1"/>
  <c r="L90" i="1"/>
  <c r="L91" i="1"/>
  <c r="L92" i="1"/>
  <c r="L93" i="1"/>
  <c r="L95" i="1"/>
  <c r="F88" i="1"/>
  <c r="G88" i="1"/>
  <c r="F87" i="1"/>
  <c r="G87" i="1"/>
  <c r="F74" i="1"/>
  <c r="G74" i="1"/>
  <c r="L74" i="1"/>
  <c r="M74" i="1" s="1"/>
  <c r="F75" i="1"/>
  <c r="L75" i="1" s="1"/>
  <c r="M75" i="1" s="1"/>
  <c r="G75" i="1"/>
  <c r="F76" i="1"/>
  <c r="L76" i="1" s="1"/>
  <c r="M76" i="1" s="1"/>
  <c r="M77" i="1" s="1"/>
  <c r="G76" i="1"/>
  <c r="F77" i="1"/>
  <c r="G77" i="1"/>
  <c r="L77" i="1"/>
  <c r="F78" i="1"/>
  <c r="L78" i="1" s="1"/>
  <c r="G78" i="1"/>
  <c r="F79" i="1"/>
  <c r="L79" i="1" s="1"/>
  <c r="G79" i="1"/>
  <c r="F80" i="1"/>
  <c r="G80" i="1"/>
  <c r="L80" i="1"/>
  <c r="F81" i="1"/>
  <c r="L81" i="1" s="1"/>
  <c r="G81" i="1"/>
  <c r="F82" i="1"/>
  <c r="L82" i="1" s="1"/>
  <c r="G82" i="1"/>
  <c r="F83" i="1"/>
  <c r="G83" i="1"/>
  <c r="L83" i="1"/>
  <c r="F84" i="1"/>
  <c r="L84" i="1" s="1"/>
  <c r="G84" i="1"/>
  <c r="F85" i="1"/>
  <c r="L85" i="1" s="1"/>
  <c r="G85" i="1"/>
  <c r="F86" i="1"/>
  <c r="G86" i="1"/>
  <c r="L86" i="1"/>
  <c r="M72" i="1"/>
  <c r="M73" i="1" s="1"/>
  <c r="M71" i="1"/>
  <c r="L72" i="1"/>
  <c r="L73" i="1"/>
  <c r="L71" i="1"/>
  <c r="F72" i="1"/>
  <c r="G72" i="1"/>
  <c r="F73" i="1"/>
  <c r="G73" i="1"/>
  <c r="G71" i="1"/>
  <c r="F71" i="1"/>
  <c r="J58" i="1"/>
  <c r="K58" i="1"/>
  <c r="J59" i="1"/>
  <c r="L59" i="1" s="1"/>
  <c r="K59" i="1"/>
  <c r="J60" i="1"/>
  <c r="L60" i="1" s="1"/>
  <c r="K60" i="1"/>
  <c r="J61" i="1"/>
  <c r="L61" i="1" s="1"/>
  <c r="K61" i="1"/>
  <c r="J62" i="1"/>
  <c r="K62" i="1"/>
  <c r="J63" i="1"/>
  <c r="K63" i="1"/>
  <c r="L55" i="1"/>
  <c r="M55" i="1"/>
  <c r="L56" i="1"/>
  <c r="M56" i="1"/>
  <c r="L57" i="1"/>
  <c r="M57" i="1"/>
  <c r="L58" i="1"/>
  <c r="L62" i="1"/>
  <c r="L63" i="1"/>
  <c r="J57" i="1"/>
  <c r="K57" i="1"/>
  <c r="J56" i="1"/>
  <c r="K56" i="1"/>
  <c r="J55" i="1"/>
  <c r="K55" i="1"/>
  <c r="J42" i="1"/>
  <c r="L42" i="1" s="1"/>
  <c r="M42" i="1" s="1"/>
  <c r="M43" i="1" s="1"/>
  <c r="M44" i="1" s="1"/>
  <c r="K42" i="1"/>
  <c r="J43" i="1"/>
  <c r="K43" i="1"/>
  <c r="L43" i="1"/>
  <c r="J44" i="1"/>
  <c r="K44" i="1"/>
  <c r="L44" i="1"/>
  <c r="J45" i="1"/>
  <c r="L45" i="1" s="1"/>
  <c r="K45" i="1"/>
  <c r="J46" i="1"/>
  <c r="K46" i="1"/>
  <c r="L46" i="1"/>
  <c r="J47" i="1"/>
  <c r="K47" i="1"/>
  <c r="L47" i="1"/>
  <c r="J48" i="1"/>
  <c r="L48" i="1" s="1"/>
  <c r="K48" i="1"/>
  <c r="J49" i="1"/>
  <c r="K49" i="1"/>
  <c r="L49" i="1"/>
  <c r="J50" i="1"/>
  <c r="K50" i="1"/>
  <c r="L50" i="1"/>
  <c r="J51" i="1"/>
  <c r="L51" i="1" s="1"/>
  <c r="K51" i="1"/>
  <c r="J52" i="1"/>
  <c r="K52" i="1"/>
  <c r="L52" i="1"/>
  <c r="J53" i="1"/>
  <c r="K53" i="1"/>
  <c r="L53" i="1"/>
  <c r="J54" i="1"/>
  <c r="L54" i="1" s="1"/>
  <c r="K54" i="1"/>
  <c r="J40" i="1"/>
  <c r="K40" i="1"/>
  <c r="L40" i="1"/>
  <c r="M40" i="1" s="1"/>
  <c r="J41" i="1"/>
  <c r="L41" i="1" s="1"/>
  <c r="K41" i="1"/>
  <c r="L39" i="1"/>
  <c r="K39" i="1"/>
  <c r="J39" i="1"/>
  <c r="M25" i="1"/>
  <c r="M26" i="1"/>
  <c r="M27" i="1"/>
  <c r="M28" i="1"/>
  <c r="M29" i="1"/>
  <c r="M30" i="1"/>
  <c r="M31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7" i="1"/>
  <c r="F8" i="1"/>
  <c r="F9" i="1"/>
  <c r="F10" i="1"/>
  <c r="F11" i="1"/>
  <c r="F12" i="1"/>
  <c r="F13" i="1"/>
  <c r="F14" i="1"/>
  <c r="F15" i="1"/>
  <c r="F16" i="1"/>
  <c r="F17" i="1"/>
  <c r="F18" i="1"/>
  <c r="L18" i="1" s="1"/>
  <c r="F19" i="1"/>
  <c r="L19" i="1" s="1"/>
  <c r="F20" i="1"/>
  <c r="F21" i="1"/>
  <c r="F22" i="1"/>
  <c r="F23" i="1"/>
  <c r="F24" i="1"/>
  <c r="F7" i="1"/>
  <c r="L20" i="1"/>
  <c r="L21" i="1"/>
  <c r="L23" i="1"/>
  <c r="L11" i="1"/>
  <c r="L13" i="1"/>
  <c r="L22" i="1"/>
  <c r="L10" i="1"/>
  <c r="L24" i="1"/>
  <c r="L25" i="1"/>
  <c r="L26" i="1"/>
  <c r="L27" i="1"/>
  <c r="L28" i="1"/>
  <c r="L29" i="1"/>
  <c r="L30" i="1"/>
  <c r="L31" i="1"/>
  <c r="K23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K8" i="1"/>
  <c r="L9" i="1"/>
  <c r="K9" i="1"/>
  <c r="K7" i="1"/>
  <c r="G7" i="1"/>
  <c r="E64" i="7" l="1"/>
  <c r="E96" i="7"/>
  <c r="E32" i="7"/>
  <c r="F8" i="7"/>
  <c r="F9" i="7" s="1"/>
  <c r="F10" i="7" s="1"/>
  <c r="F11" i="7" s="1"/>
  <c r="F71" i="7"/>
  <c r="F72" i="7" s="1"/>
  <c r="F73" i="7" s="1"/>
  <c r="F74" i="7" s="1"/>
  <c r="F75" i="7" s="1"/>
  <c r="F39" i="7"/>
  <c r="F40" i="7" s="1"/>
  <c r="F41" i="7" s="1"/>
  <c r="F42" i="7" s="1"/>
  <c r="F43" i="7" s="1"/>
  <c r="M90" i="1"/>
  <c r="M91" i="1" s="1"/>
  <c r="M92" i="1" s="1"/>
  <c r="M93" i="1" s="1"/>
  <c r="M94" i="1" s="1"/>
  <c r="M95" i="1" s="1"/>
  <c r="M78" i="1"/>
  <c r="M79" i="1" s="1"/>
  <c r="M80" i="1" s="1"/>
  <c r="M81" i="1" s="1"/>
  <c r="M82" i="1" s="1"/>
  <c r="M83" i="1" s="1"/>
  <c r="M84" i="1" s="1"/>
  <c r="M85" i="1" s="1"/>
  <c r="M86" i="1" s="1"/>
  <c r="M58" i="1"/>
  <c r="M59" i="1" s="1"/>
  <c r="M60" i="1" s="1"/>
  <c r="M61" i="1" s="1"/>
  <c r="M62" i="1" s="1"/>
  <c r="M63" i="1" s="1"/>
  <c r="M46" i="1"/>
  <c r="M47" i="1" s="1"/>
  <c r="M48" i="1" s="1"/>
  <c r="M49" i="1" s="1"/>
  <c r="M50" i="1" s="1"/>
  <c r="M51" i="1" s="1"/>
  <c r="M52" i="1" s="1"/>
  <c r="M53" i="1" s="1"/>
  <c r="M54" i="1" s="1"/>
  <c r="M45" i="1"/>
  <c r="M41" i="1"/>
  <c r="M39" i="1"/>
  <c r="L15" i="1"/>
  <c r="L16" i="1"/>
  <c r="L14" i="1"/>
  <c r="L12" i="1"/>
  <c r="L17" i="1"/>
  <c r="L7" i="1"/>
  <c r="F44" i="7" l="1"/>
  <c r="F45" i="7" s="1"/>
  <c r="F46" i="7" s="1"/>
  <c r="F47" i="7" s="1"/>
  <c r="F48" i="7" s="1"/>
  <c r="F49" i="7" s="1"/>
  <c r="F50" i="7" s="1"/>
  <c r="F51" i="7" s="1"/>
  <c r="F52" i="7" s="1"/>
  <c r="F53" i="7" s="1"/>
  <c r="F54" i="7" s="1"/>
  <c r="F55" i="7" s="1"/>
  <c r="F56" i="7" s="1"/>
  <c r="F57" i="7" s="1"/>
  <c r="F58" i="7" s="1"/>
  <c r="F59" i="7" s="1"/>
  <c r="F60" i="7" s="1"/>
  <c r="F61" i="7" s="1"/>
  <c r="F62" i="7" s="1"/>
  <c r="F63" i="7" s="1"/>
  <c r="G21" i="6" s="1"/>
  <c r="H21" i="6" s="1"/>
  <c r="G9" i="6"/>
  <c r="H9" i="6" s="1"/>
  <c r="F12" i="7"/>
  <c r="F13" i="7" s="1"/>
  <c r="F14" i="7" s="1"/>
  <c r="F15" i="7" s="1"/>
  <c r="F16" i="7" s="1"/>
  <c r="F17" i="7" s="1"/>
  <c r="F18" i="7" s="1"/>
  <c r="F19" i="7" s="1"/>
  <c r="F20" i="7" s="1"/>
  <c r="F21" i="7" s="1"/>
  <c r="F22" i="7" s="1"/>
  <c r="F23" i="7" s="1"/>
  <c r="F24" i="7" s="1"/>
  <c r="F25" i="7" s="1"/>
  <c r="F26" i="7" s="1"/>
  <c r="F27" i="7" s="1"/>
  <c r="F28" i="7" s="1"/>
  <c r="F29" i="7" s="1"/>
  <c r="F30" i="7" s="1"/>
  <c r="F31" i="7" s="1"/>
  <c r="G19" i="6" s="1"/>
  <c r="G7" i="6"/>
  <c r="F76" i="7"/>
  <c r="F77" i="7" s="1"/>
  <c r="F78" i="7" s="1"/>
  <c r="F79" i="7" s="1"/>
  <c r="F80" i="7" s="1"/>
  <c r="F81" i="7" s="1"/>
  <c r="F82" i="7" s="1"/>
  <c r="F83" i="7" s="1"/>
  <c r="F84" i="7" s="1"/>
  <c r="F85" i="7" s="1"/>
  <c r="F86" i="7" s="1"/>
  <c r="F87" i="7" s="1"/>
  <c r="F88" i="7" s="1"/>
  <c r="F89" i="7" s="1"/>
  <c r="F90" i="7" s="1"/>
  <c r="F91" i="7" s="1"/>
  <c r="F92" i="7" s="1"/>
  <c r="F93" i="7" s="1"/>
  <c r="F94" i="7" s="1"/>
  <c r="F95" i="7" s="1"/>
  <c r="G23" i="6" s="1"/>
  <c r="H23" i="6" s="1"/>
  <c r="G11" i="6"/>
  <c r="H11" i="6" s="1"/>
  <c r="M7" i="1"/>
  <c r="M8" i="1" s="1"/>
  <c r="M9" i="1" s="1"/>
  <c r="M10" i="1" s="1"/>
  <c r="M11" i="1" s="1"/>
  <c r="L32" i="1"/>
  <c r="H7" i="6" l="1"/>
  <c r="H13" i="6" s="1"/>
  <c r="K8" i="6" s="1"/>
  <c r="K13" i="6" s="1"/>
  <c r="G13" i="6"/>
  <c r="H19" i="6"/>
  <c r="H25" i="6" s="1"/>
  <c r="K20" i="6" s="1"/>
  <c r="K25" i="6" s="1"/>
  <c r="G25" i="6"/>
  <c r="M12" i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</calcChain>
</file>

<file path=xl/sharedStrings.xml><?xml version="1.0" encoding="utf-8"?>
<sst xmlns="http://schemas.openxmlformats.org/spreadsheetml/2006/main" count="340" uniqueCount="125">
  <si>
    <t>YEAR</t>
  </si>
  <si>
    <t>Total MultiFamily Units</t>
  </si>
  <si>
    <t>Multifamily Gas Units</t>
  </si>
  <si>
    <t>kWh Reduction</t>
  </si>
  <si>
    <t>Therms Reduction</t>
  </si>
  <si>
    <t>Total Single Family Units</t>
  </si>
  <si>
    <t>Single Family Gas Units</t>
  </si>
  <si>
    <t>GHG Mitigation Estimate</t>
  </si>
  <si>
    <t>Washington County</t>
  </si>
  <si>
    <t>GHG Mitigation Cumulative</t>
  </si>
  <si>
    <t>TOTALS</t>
  </si>
  <si>
    <t>Clackmas County</t>
  </si>
  <si>
    <t>Clark County</t>
  </si>
  <si>
    <t>HVAC</t>
  </si>
  <si>
    <t>Space heating</t>
  </si>
  <si>
    <t>air conditioning</t>
  </si>
  <si>
    <t>water heater</t>
  </si>
  <si>
    <t>other</t>
  </si>
  <si>
    <t>Annual kWh of electricity</t>
  </si>
  <si>
    <t>per MF HH</t>
  </si>
  <si>
    <t>Annual therms of NG</t>
  </si>
  <si>
    <t>per HH</t>
  </si>
  <si>
    <t>Electricity</t>
  </si>
  <si>
    <t>Natural Gas</t>
  </si>
  <si>
    <t>End Use</t>
  </si>
  <si>
    <t>% of Total Electricity Use</t>
  </si>
  <si>
    <t>% of Total Natural Gas Use</t>
  </si>
  <si>
    <t>Air Conditioning</t>
  </si>
  <si>
    <t>Space Heating</t>
  </si>
  <si>
    <t>Water Heating</t>
  </si>
  <si>
    <t xml:space="preserve">Other </t>
  </si>
  <si>
    <t>Other</t>
  </si>
  <si>
    <t>Source: RBECS Table CE4.5  Annual household site end-use consumption by fuel in the West—totals, 2015</t>
  </si>
  <si>
    <t>Tree Planting</t>
  </si>
  <si>
    <t xml:space="preserve">TOTAL </t>
  </si>
  <si>
    <t>2030 Reductions (MTCO2e)</t>
  </si>
  <si>
    <t>2050 Reductions (MTCO2e)</t>
  </si>
  <si>
    <t>TOTAL</t>
  </si>
  <si>
    <t xml:space="preserve">Building Energy </t>
  </si>
  <si>
    <t>Table 1</t>
  </si>
  <si>
    <t>Table 2</t>
  </si>
  <si>
    <t>2030 Cost Effectiveness</t>
  </si>
  <si>
    <t>2050 Cost Effectiveness</t>
  </si>
  <si>
    <t>GHG Reduction</t>
  </si>
  <si>
    <t>Cumulative GHG Reduction</t>
  </si>
  <si>
    <t>Cumulative Trees Planted (Full Grown)</t>
  </si>
  <si>
    <t>MTCO2e Reduced</t>
  </si>
  <si>
    <t>Total Project Cost</t>
  </si>
  <si>
    <t>Cost Per MTCO2e</t>
  </si>
  <si>
    <t>Table 3.</t>
  </si>
  <si>
    <t>Table 4.</t>
  </si>
  <si>
    <t>Table 5.</t>
  </si>
  <si>
    <t>Table 6.</t>
  </si>
  <si>
    <t>Table 7.</t>
  </si>
  <si>
    <t xml:space="preserve">Table 8. </t>
  </si>
  <si>
    <t>Table 9.</t>
  </si>
  <si>
    <t>Table 10.</t>
  </si>
  <si>
    <t>Residential Heating</t>
  </si>
  <si>
    <t>Ammonia</t>
  </si>
  <si>
    <t>NH3</t>
  </si>
  <si>
    <t>CAP</t>
  </si>
  <si>
    <t>LB</t>
  </si>
  <si>
    <t>E6FT3</t>
  </si>
  <si>
    <t>Carbon Monoxide</t>
  </si>
  <si>
    <t>CO</t>
  </si>
  <si>
    <t>Nitrogen Oxides</t>
  </si>
  <si>
    <t>NOX</t>
  </si>
  <si>
    <t>PM Condensible</t>
  </si>
  <si>
    <t>PM-CON</t>
  </si>
  <si>
    <t>PM10 Filterable</t>
  </si>
  <si>
    <t>PM10-FIL</t>
  </si>
  <si>
    <t>PM10 Primary (Filt + Cond)</t>
  </si>
  <si>
    <t>PM10-PRI</t>
  </si>
  <si>
    <t>PM2.5 Filterable</t>
  </si>
  <si>
    <t>PM25-FIL</t>
  </si>
  <si>
    <t>PM2.5 Primary (Filt + Cond)</t>
  </si>
  <si>
    <t>PM25-PRI</t>
  </si>
  <si>
    <t>Sulfur Dioxide</t>
  </si>
  <si>
    <t>SO2</t>
  </si>
  <si>
    <t>Volatile Organic Compounds</t>
  </si>
  <si>
    <t>VOC</t>
  </si>
  <si>
    <t>Category</t>
  </si>
  <si>
    <t>Heat Type</t>
  </si>
  <si>
    <t>Pollutant</t>
  </si>
  <si>
    <t>Type</t>
  </si>
  <si>
    <t>Pollutant Code</t>
  </si>
  <si>
    <t>Emission Factor</t>
  </si>
  <si>
    <t>Unit Denominator</t>
  </si>
  <si>
    <t>Unit Numerator</t>
  </si>
  <si>
    <t>Therm Equivelant</t>
  </si>
  <si>
    <t>Project Reduction (lbs)</t>
  </si>
  <si>
    <t xml:space="preserve">Table 11. </t>
  </si>
  <si>
    <t>Table 12.</t>
  </si>
  <si>
    <t xml:space="preserve">Clackmas County </t>
  </si>
  <si>
    <t>Utility Emission Factors (combined market based)</t>
  </si>
  <si>
    <t>0.000216 MTCO2e/kWh</t>
  </si>
  <si>
    <t>0.000315 MTCO2e/kWh</t>
  </si>
  <si>
    <t>Building Energy Use by appliance and energy type</t>
  </si>
  <si>
    <t>Source: Oregon Metro PCAP Analysis</t>
  </si>
  <si>
    <t>Single Famly Baseline Energy Use Assumption</t>
  </si>
  <si>
    <t>MultiFamily Baseline Energy Use Assumption</t>
  </si>
  <si>
    <t>Source EPA WHAGON WHEEL TOOL</t>
  </si>
  <si>
    <t>Project Planning</t>
  </si>
  <si>
    <t>Year 1</t>
  </si>
  <si>
    <t xml:space="preserve">Implementation </t>
  </si>
  <si>
    <t>Years 2-4 (33% of scope per year)</t>
  </si>
  <si>
    <t>Project Wrap Up</t>
  </si>
  <si>
    <t>Year 5 (any remaining installs)</t>
  </si>
  <si>
    <t>Trees Per Property</t>
  </si>
  <si>
    <t>Single Family Properties</t>
  </si>
  <si>
    <t>Multifamily Properties</t>
  </si>
  <si>
    <t>%Natural Gas</t>
  </si>
  <si>
    <t>COUNTY</t>
  </si>
  <si>
    <t>lbs/CO2e per tree per year</t>
  </si>
  <si>
    <t>48 (fully grown)</t>
  </si>
  <si>
    <t>Growth Time</t>
  </si>
  <si>
    <t>5 years</t>
  </si>
  <si>
    <t>Estimated MTCO2e</t>
  </si>
  <si>
    <t>Source: US Department of Agriculture https://www.usda.gov/media/blog/2015/03/17/power-one-tree-very-air-we-breathe</t>
  </si>
  <si>
    <t xml:space="preserve">Table 13. Project Scope and Timeline </t>
  </si>
  <si>
    <t>Table 14. Building Energy Assumptions and References</t>
  </si>
  <si>
    <t>Table 15. Trees Assumptions and References</t>
  </si>
  <si>
    <t>Table 16. Co-pollutants Assumptions and References</t>
  </si>
  <si>
    <t xml:space="preserve">Natural Gas </t>
  </si>
  <si>
    <t>0.005332 MTCO2e/therm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</si>
</sst>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0" fillId="3" borderId="0" xfId="0" applyFill="1"/>
    <xf numFmtId="0" fontId="0" fillId="2" borderId="1" xfId="0" applyFill="1" applyBorder="1"/>
    <xf numFmtId="0" fontId="0" fillId="3" borderId="0" xfId="0" applyFill="1" applyAlignment="1">
      <alignment horizontal="center"/>
    </xf>
    <xf numFmtId="43" fontId="0" fillId="2" borderId="1" xfId="1" applyFont="1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/>
    <xf numFmtId="0" fontId="0" fillId="2" borderId="7" xfId="0" applyFill="1" applyBorder="1"/>
    <xf numFmtId="43" fontId="0" fillId="2" borderId="0" xfId="0" applyNumberFormat="1" applyFill="1"/>
    <xf numFmtId="0" fontId="0" fillId="2" borderId="8" xfId="0" applyFill="1" applyBorder="1"/>
    <xf numFmtId="0" fontId="0" fillId="2" borderId="9" xfId="0" applyFill="1" applyBorder="1"/>
    <xf numFmtId="43" fontId="0" fillId="2" borderId="9" xfId="0" applyNumberFormat="1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2" borderId="3" xfId="0" applyFont="1" applyFill="1" applyBorder="1"/>
    <xf numFmtId="0" fontId="0" fillId="2" borderId="7" xfId="0" applyFill="1" applyBorder="1" applyAlignment="1">
      <alignment horizontal="center"/>
    </xf>
    <xf numFmtId="0" fontId="0" fillId="2" borderId="12" xfId="0" applyFill="1" applyBorder="1" applyAlignment="1">
      <alignment horizontal="left"/>
    </xf>
    <xf numFmtId="43" fontId="0" fillId="2" borderId="0" xfId="1" applyFont="1" applyFill="1" applyBorder="1" applyAlignment="1">
      <alignment horizontal="center"/>
    </xf>
    <xf numFmtId="43" fontId="0" fillId="2" borderId="7" xfId="1" applyFont="1" applyFill="1" applyBorder="1" applyAlignment="1">
      <alignment horizontal="center"/>
    </xf>
    <xf numFmtId="43" fontId="0" fillId="4" borderId="7" xfId="1" applyFont="1" applyFill="1" applyBorder="1" applyAlignment="1">
      <alignment horizontal="center"/>
    </xf>
    <xf numFmtId="43" fontId="0" fillId="4" borderId="12" xfId="1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43" fontId="0" fillId="2" borderId="9" xfId="0" applyNumberFormat="1" applyFill="1" applyBorder="1" applyAlignment="1">
      <alignment horizontal="center"/>
    </xf>
    <xf numFmtId="43" fontId="0" fillId="2" borderId="10" xfId="1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2" xfId="0" applyFill="1" applyBorder="1"/>
    <xf numFmtId="0" fontId="3" fillId="2" borderId="0" xfId="0" applyFont="1" applyFill="1"/>
    <xf numFmtId="43" fontId="0" fillId="2" borderId="7" xfId="0" applyNumberFormat="1" applyFill="1" applyBorder="1"/>
    <xf numFmtId="43" fontId="0" fillId="2" borderId="10" xfId="0" applyNumberFormat="1" applyFill="1" applyBorder="1"/>
    <xf numFmtId="43" fontId="0" fillId="2" borderId="9" xfId="1" applyFont="1" applyFill="1" applyBorder="1"/>
    <xf numFmtId="43" fontId="0" fillId="2" borderId="10" xfId="1" applyFont="1" applyFill="1" applyBorder="1"/>
    <xf numFmtId="44" fontId="0" fillId="2" borderId="7" xfId="2" applyFont="1" applyFill="1" applyBorder="1"/>
    <xf numFmtId="164" fontId="0" fillId="2" borderId="10" xfId="2" applyNumberFormat="1" applyFont="1" applyFill="1" applyBorder="1"/>
    <xf numFmtId="0" fontId="0" fillId="3" borderId="0" xfId="0" applyFill="1" applyAlignment="1">
      <alignment horizontal="left"/>
    </xf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6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9" fontId="0" fillId="3" borderId="0" xfId="3" applyFont="1" applyFill="1" applyAlignment="1">
      <alignment horizontal="left"/>
    </xf>
    <xf numFmtId="0" fontId="0" fillId="2" borderId="17" xfId="0" applyFill="1" applyBorder="1"/>
    <xf numFmtId="0" fontId="0" fillId="2" borderId="18" xfId="0" applyFill="1" applyBorder="1"/>
    <xf numFmtId="9" fontId="0" fillId="2" borderId="0" xfId="3" applyFont="1" applyFill="1" applyBorder="1" applyAlignment="1">
      <alignment horizontal="left"/>
    </xf>
    <xf numFmtId="9" fontId="0" fillId="2" borderId="7" xfId="3" applyFont="1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3" fillId="2" borderId="3" xfId="0" applyFont="1" applyFill="1" applyBorder="1"/>
    <xf numFmtId="9" fontId="0" fillId="2" borderId="0" xfId="3" applyFont="1" applyFill="1" applyBorder="1"/>
    <xf numFmtId="9" fontId="0" fillId="2" borderId="7" xfId="3" applyFont="1" applyFill="1" applyBorder="1"/>
    <xf numFmtId="9" fontId="0" fillId="2" borderId="9" xfId="3" applyFont="1" applyFill="1" applyBorder="1"/>
    <xf numFmtId="9" fontId="0" fillId="2" borderId="10" xfId="3" applyFont="1" applyFill="1" applyBorder="1"/>
    <xf numFmtId="0" fontId="0" fillId="2" borderId="5" xfId="0" applyFill="1" applyBorder="1" applyAlignment="1">
      <alignment horizontal="left"/>
    </xf>
    <xf numFmtId="0" fontId="0" fillId="2" borderId="10" xfId="0" applyFill="1" applyBorder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D07E9-F3AB-4723-B6D1-03FD65F5FF3A}">
  <sheetPr>
    <pageSetUpPr fitToPage="1"/>
  </sheetPr>
  <dimension ref="C3:K25"/>
  <sheetViews>
    <sheetView topLeftCell="B1" workbookViewId="0">
      <selection activeCell="G25" sqref="G25"/>
    </sheetView>
  </sheetViews>
  <sheetFormatPr defaultColWidth="8.7109375" defaultRowHeight="15" x14ac:dyDescent="0.25"/>
  <cols>
    <col min="1" max="5" width="8.7109375" style="1"/>
    <col min="6" max="6" width="13.5703125" style="1" customWidth="1"/>
    <col min="7" max="7" width="14.42578125" style="1" customWidth="1"/>
    <col min="8" max="8" width="11.5703125" style="1" customWidth="1"/>
    <col min="9" max="9" width="8.7109375" style="1"/>
    <col min="10" max="10" width="22.140625" style="1" customWidth="1"/>
    <col min="11" max="11" width="14.5703125" style="1" bestFit="1" customWidth="1"/>
    <col min="12" max="16384" width="8.7109375" style="1"/>
  </cols>
  <sheetData>
    <row r="3" spans="3:11" ht="15.75" thickBot="1" x14ac:dyDescent="0.3"/>
    <row r="4" spans="3:11" ht="15.75" thickBot="1" x14ac:dyDescent="0.3">
      <c r="C4" s="31" t="s">
        <v>39</v>
      </c>
      <c r="J4" s="31" t="s">
        <v>49</v>
      </c>
    </row>
    <row r="5" spans="3:11" x14ac:dyDescent="0.25">
      <c r="C5" s="20" t="s">
        <v>35</v>
      </c>
      <c r="D5" s="6"/>
      <c r="E5" s="6"/>
      <c r="F5" s="18" t="s">
        <v>38</v>
      </c>
      <c r="G5" s="18" t="s">
        <v>33</v>
      </c>
      <c r="H5" s="19" t="s">
        <v>37</v>
      </c>
      <c r="J5" s="20" t="s">
        <v>41</v>
      </c>
      <c r="K5" s="7"/>
    </row>
    <row r="6" spans="3:11" x14ac:dyDescent="0.25">
      <c r="C6" s="8"/>
      <c r="D6" s="9"/>
      <c r="E6" s="9"/>
      <c r="F6" s="9"/>
      <c r="G6" s="9"/>
      <c r="H6" s="10"/>
      <c r="J6" s="8"/>
      <c r="K6" s="10"/>
    </row>
    <row r="7" spans="3:11" x14ac:dyDescent="0.25">
      <c r="C7" s="8" t="s">
        <v>8</v>
      </c>
      <c r="D7" s="9"/>
      <c r="E7" s="9"/>
      <c r="F7" s="11">
        <f>'GHG Reduction (Buildings)'!M11</f>
        <v>2591.3081594879995</v>
      </c>
      <c r="G7" s="11">
        <f>'GHG Reduction (Trees)'!F11</f>
        <v>60.984268320000005</v>
      </c>
      <c r="H7" s="33">
        <f>SUM(F7:G7)</f>
        <v>2652.2924278079995</v>
      </c>
      <c r="J7" s="8"/>
      <c r="K7" s="10"/>
    </row>
    <row r="8" spans="3:11" x14ac:dyDescent="0.25">
      <c r="C8" s="8"/>
      <c r="D8" s="9"/>
      <c r="E8" s="9"/>
      <c r="F8" s="9"/>
      <c r="G8" s="9"/>
      <c r="H8" s="10"/>
      <c r="J8" s="8" t="s">
        <v>46</v>
      </c>
      <c r="K8" s="33">
        <f>H13</f>
        <v>5238.2370570479998</v>
      </c>
    </row>
    <row r="9" spans="3:11" x14ac:dyDescent="0.25">
      <c r="C9" s="8" t="s">
        <v>11</v>
      </c>
      <c r="D9" s="9"/>
      <c r="E9" s="9"/>
      <c r="F9" s="11">
        <f>'GHG Reduction (Buildings)'!M43</f>
        <v>1244.8692453600001</v>
      </c>
      <c r="G9" s="11">
        <f>'GHG Reduction (Trees)'!F43</f>
        <v>20.003318999999998</v>
      </c>
      <c r="H9" s="33">
        <f>SUM(F9:G9)</f>
        <v>1264.8725643600001</v>
      </c>
      <c r="J9" s="8"/>
      <c r="K9" s="10"/>
    </row>
    <row r="10" spans="3:11" x14ac:dyDescent="0.25">
      <c r="C10" s="8"/>
      <c r="D10" s="9"/>
      <c r="E10" s="9"/>
      <c r="F10" s="9"/>
      <c r="G10" s="9"/>
      <c r="H10" s="10"/>
      <c r="J10" s="8" t="s">
        <v>47</v>
      </c>
      <c r="K10" s="37">
        <f>(180+264+145+318)*48872</f>
        <v>44326904</v>
      </c>
    </row>
    <row r="11" spans="3:11" x14ac:dyDescent="0.25">
      <c r="C11" s="8" t="s">
        <v>12</v>
      </c>
      <c r="D11" s="9"/>
      <c r="E11" s="9"/>
      <c r="F11" s="11">
        <f>'GHG Reduction (Buildings)'!M75</f>
        <v>1277.2226123999999</v>
      </c>
      <c r="G11" s="11">
        <f>'GHG Reduction (Trees)'!F75</f>
        <v>43.849452480000004</v>
      </c>
      <c r="H11" s="33">
        <f>SUM(F11:G11)</f>
        <v>1321.07206488</v>
      </c>
      <c r="J11" s="8"/>
      <c r="K11" s="10"/>
    </row>
    <row r="12" spans="3:11" x14ac:dyDescent="0.25">
      <c r="C12" s="16"/>
      <c r="D12" s="2"/>
      <c r="E12" s="2"/>
      <c r="F12" s="2"/>
      <c r="G12" s="2"/>
      <c r="H12" s="17"/>
      <c r="J12" s="16"/>
      <c r="K12" s="17"/>
    </row>
    <row r="13" spans="3:11" ht="15.75" thickBot="1" x14ac:dyDescent="0.3">
      <c r="C13" s="12" t="s">
        <v>34</v>
      </c>
      <c r="D13" s="13"/>
      <c r="E13" s="13"/>
      <c r="F13" s="14">
        <f>SUM(F7:F11)</f>
        <v>5113.4000172479991</v>
      </c>
      <c r="G13" s="14">
        <f>SUM(G7:G11)</f>
        <v>124.83703980000001</v>
      </c>
      <c r="H13" s="34">
        <f>SUM(H7:H11)</f>
        <v>5238.2370570479998</v>
      </c>
      <c r="J13" s="12" t="s">
        <v>48</v>
      </c>
      <c r="K13" s="38">
        <f>K10/K8</f>
        <v>8462.179835935176</v>
      </c>
    </row>
    <row r="15" spans="3:11" ht="15.75" thickBot="1" x14ac:dyDescent="0.3"/>
    <row r="16" spans="3:11" ht="15.75" thickBot="1" x14ac:dyDescent="0.3">
      <c r="C16" s="31" t="s">
        <v>40</v>
      </c>
      <c r="J16" s="31" t="s">
        <v>50</v>
      </c>
    </row>
    <row r="17" spans="3:11" x14ac:dyDescent="0.25">
      <c r="C17" s="20" t="s">
        <v>36</v>
      </c>
      <c r="D17" s="6"/>
      <c r="E17" s="6"/>
      <c r="F17" s="18" t="s">
        <v>38</v>
      </c>
      <c r="G17" s="18" t="s">
        <v>33</v>
      </c>
      <c r="H17" s="19" t="s">
        <v>37</v>
      </c>
      <c r="J17" s="20" t="s">
        <v>42</v>
      </c>
      <c r="K17" s="7"/>
    </row>
    <row r="18" spans="3:11" x14ac:dyDescent="0.25">
      <c r="C18" s="8"/>
      <c r="D18" s="9"/>
      <c r="E18" s="9"/>
      <c r="F18" s="9"/>
      <c r="G18" s="9"/>
      <c r="H18" s="10"/>
      <c r="J18" s="8"/>
      <c r="K18" s="10"/>
    </row>
    <row r="19" spans="3:11" x14ac:dyDescent="0.25">
      <c r="C19" s="8" t="s">
        <v>8</v>
      </c>
      <c r="D19" s="9"/>
      <c r="E19" s="9"/>
      <c r="F19" s="11">
        <f>'GHG Reduction (Buildings)'!M31</f>
        <v>10367.214244991999</v>
      </c>
      <c r="G19" s="11">
        <f>'GHG Reduction (Trees)'!F31</f>
        <v>445.91888591999975</v>
      </c>
      <c r="H19" s="33">
        <f>SUM(F19:G19)</f>
        <v>10813.133130912</v>
      </c>
      <c r="J19" s="8"/>
      <c r="K19" s="10"/>
    </row>
    <row r="20" spans="3:11" x14ac:dyDescent="0.25">
      <c r="C20" s="8"/>
      <c r="D20" s="9"/>
      <c r="E20" s="9"/>
      <c r="F20" s="9"/>
      <c r="G20" s="9"/>
      <c r="H20" s="10"/>
      <c r="J20" s="8" t="s">
        <v>46</v>
      </c>
      <c r="K20" s="33">
        <f>H25</f>
        <v>21368.956213751997</v>
      </c>
    </row>
    <row r="21" spans="3:11" x14ac:dyDescent="0.25">
      <c r="C21" s="8" t="s">
        <v>11</v>
      </c>
      <c r="D21" s="9"/>
      <c r="E21" s="9"/>
      <c r="F21" s="11">
        <f>'GHG Reduction (Buildings)'!M63</f>
        <v>4977.5824977599996</v>
      </c>
      <c r="G21" s="11">
        <f>'GHG Reduction (Trees)'!F63</f>
        <v>146.28277499999999</v>
      </c>
      <c r="H21" s="33">
        <f>SUM(F21:G21)</f>
        <v>5123.8652727599992</v>
      </c>
      <c r="J21" s="8"/>
      <c r="K21" s="10"/>
    </row>
    <row r="22" spans="3:11" x14ac:dyDescent="0.25">
      <c r="C22" s="8"/>
      <c r="D22" s="9"/>
      <c r="E22" s="9"/>
      <c r="F22" s="9"/>
      <c r="G22" s="9"/>
      <c r="H22" s="10"/>
      <c r="J22" s="8" t="s">
        <v>47</v>
      </c>
      <c r="K22" s="37">
        <f>(180+264+145+318)*48872</f>
        <v>44326904</v>
      </c>
    </row>
    <row r="23" spans="3:11" x14ac:dyDescent="0.25">
      <c r="C23" s="8" t="s">
        <v>12</v>
      </c>
      <c r="D23" s="9"/>
      <c r="E23" s="9"/>
      <c r="F23" s="11">
        <f>'GHG Reduction (Buildings)'!M95</f>
        <v>5111.1644471999998</v>
      </c>
      <c r="G23" s="11">
        <f>'GHG Reduction (Trees)'!F95</f>
        <v>320.79336288000019</v>
      </c>
      <c r="H23" s="33">
        <f>SUM(F23:G23)</f>
        <v>5431.9578100799999</v>
      </c>
      <c r="J23" s="8"/>
      <c r="K23" s="10"/>
    </row>
    <row r="24" spans="3:11" x14ac:dyDescent="0.25">
      <c r="C24" s="16"/>
      <c r="D24" s="2"/>
      <c r="E24" s="2"/>
      <c r="F24" s="2"/>
      <c r="G24" s="2"/>
      <c r="H24" s="17"/>
      <c r="J24" s="16"/>
      <c r="K24" s="17"/>
    </row>
    <row r="25" spans="3:11" ht="15.75" thickBot="1" x14ac:dyDescent="0.3">
      <c r="C25" s="12" t="s">
        <v>34</v>
      </c>
      <c r="D25" s="13"/>
      <c r="E25" s="13"/>
      <c r="F25" s="35">
        <f>SUM(F19:F23)</f>
        <v>20455.961189951999</v>
      </c>
      <c r="G25" s="35">
        <f>SUM(G19:G23)</f>
        <v>912.9950237999999</v>
      </c>
      <c r="H25" s="36">
        <f>SUM(H19:H23)</f>
        <v>21368.956213751997</v>
      </c>
      <c r="J25" s="12" t="s">
        <v>48</v>
      </c>
      <c r="K25" s="38">
        <f>K22/K20</f>
        <v>2074.3598122716639</v>
      </c>
    </row>
  </sheetData>
  <pageMargins left="0.7" right="0.7" top="0.75" bottom="0.75" header="0.3" footer="0.3"/>
  <pageSetup scale="96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9FC8B-78A1-4A97-A13E-4CCCE4C9F5DF}">
  <sheetPr>
    <pageSetUpPr fitToPage="1"/>
  </sheetPr>
  <dimension ref="B1:M96"/>
  <sheetViews>
    <sheetView zoomScale="70" zoomScaleNormal="70" workbookViewId="0">
      <selection activeCell="G96" activeCellId="3" sqref="G32 K32 K64 G96"/>
    </sheetView>
  </sheetViews>
  <sheetFormatPr defaultColWidth="8.7109375" defaultRowHeight="15" x14ac:dyDescent="0.25"/>
  <cols>
    <col min="1" max="3" width="8.7109375" style="1"/>
    <col min="4" max="4" width="22.7109375" style="1" customWidth="1"/>
    <col min="5" max="5" width="20.85546875" style="1" customWidth="1"/>
    <col min="6" max="6" width="14.5703125" style="1" customWidth="1"/>
    <col min="7" max="7" width="16.85546875" style="1" customWidth="1"/>
    <col min="8" max="8" width="21.85546875" style="1" bestFit="1" customWidth="1"/>
    <col min="9" max="9" width="20.7109375" style="1" bestFit="1" customWidth="1"/>
    <col min="10" max="10" width="13.85546875" style="1" bestFit="1" customWidth="1"/>
    <col min="11" max="11" width="16.42578125" style="1" bestFit="1" customWidth="1"/>
    <col min="12" max="12" width="21.85546875" style="1" bestFit="1" customWidth="1"/>
    <col min="13" max="13" width="30" style="3" customWidth="1"/>
    <col min="14" max="16384" width="8.7109375" style="1"/>
  </cols>
  <sheetData>
    <row r="1" spans="2:13" ht="15.75" thickBot="1" x14ac:dyDescent="0.3"/>
    <row r="2" spans="2:13" ht="15.75" thickBot="1" x14ac:dyDescent="0.3">
      <c r="B2" s="31" t="s">
        <v>51</v>
      </c>
    </row>
    <row r="3" spans="2:13" x14ac:dyDescent="0.25">
      <c r="B3" s="20" t="s">
        <v>8</v>
      </c>
      <c r="C3" s="6"/>
      <c r="D3" s="6"/>
      <c r="E3" s="6"/>
      <c r="F3" s="6"/>
      <c r="G3" s="6"/>
      <c r="H3" s="6"/>
      <c r="I3" s="6"/>
      <c r="J3" s="6"/>
      <c r="K3" s="6"/>
      <c r="L3" s="6"/>
      <c r="M3" s="19"/>
    </row>
    <row r="4" spans="2:13" x14ac:dyDescent="0.25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21"/>
    </row>
    <row r="5" spans="2:13" x14ac:dyDescent="0.25">
      <c r="B5" s="16"/>
      <c r="C5" s="2" t="s">
        <v>0</v>
      </c>
      <c r="D5" s="2" t="s">
        <v>1</v>
      </c>
      <c r="E5" s="2" t="s">
        <v>2</v>
      </c>
      <c r="F5" s="2" t="s">
        <v>3</v>
      </c>
      <c r="G5" s="2" t="s">
        <v>4</v>
      </c>
      <c r="H5" s="2" t="s">
        <v>5</v>
      </c>
      <c r="I5" s="2" t="s">
        <v>6</v>
      </c>
      <c r="J5" s="2" t="s">
        <v>3</v>
      </c>
      <c r="K5" s="2" t="s">
        <v>4</v>
      </c>
      <c r="L5" s="2" t="s">
        <v>7</v>
      </c>
      <c r="M5" s="22" t="s">
        <v>9</v>
      </c>
    </row>
    <row r="6" spans="2:13" x14ac:dyDescent="0.25">
      <c r="B6" s="8"/>
      <c r="C6" s="9">
        <v>2025</v>
      </c>
      <c r="D6" s="23">
        <v>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24">
        <v>0</v>
      </c>
    </row>
    <row r="7" spans="2:13" x14ac:dyDescent="0.25">
      <c r="B7" s="8"/>
      <c r="C7" s="9">
        <v>2026</v>
      </c>
      <c r="D7" s="23">
        <v>60</v>
      </c>
      <c r="E7" s="23">
        <v>23</v>
      </c>
      <c r="F7" s="23">
        <f>((D7*2840)+(E7*126*29.3))*0.4</f>
        <v>102124.56000000001</v>
      </c>
      <c r="G7" s="23">
        <f>126*E7</f>
        <v>2898</v>
      </c>
      <c r="H7" s="23">
        <v>88</v>
      </c>
      <c r="I7" s="23">
        <v>73</v>
      </c>
      <c r="J7" s="23">
        <f>((H7*7124.92)+(I7*126*29.3))*0.4</f>
        <v>358597.74400000001</v>
      </c>
      <c r="K7" s="23">
        <f>258.78*I7</f>
        <v>18890.939999999999</v>
      </c>
      <c r="L7" s="23">
        <f>(J7*0.000216)+(K7*0.005332)+(F7*0.000216)+(G7*0.005332)</f>
        <v>215.69464574399998</v>
      </c>
      <c r="M7" s="24">
        <f>L7+M6</f>
        <v>215.69464574399998</v>
      </c>
    </row>
    <row r="8" spans="2:13" x14ac:dyDescent="0.25">
      <c r="B8" s="8"/>
      <c r="C8" s="9">
        <v>2027</v>
      </c>
      <c r="D8" s="23">
        <v>120</v>
      </c>
      <c r="E8" s="23">
        <v>46</v>
      </c>
      <c r="F8" s="23">
        <f t="shared" ref="F8:F24" si="0">((D8*2840)+(E8*126*29.3))*0.4</f>
        <v>204249.12000000002</v>
      </c>
      <c r="G8" s="23">
        <f t="shared" ref="G8:G31" si="1">126*E8</f>
        <v>5796</v>
      </c>
      <c r="H8" s="23">
        <v>176</v>
      </c>
      <c r="I8" s="23">
        <v>146</v>
      </c>
      <c r="J8" s="23">
        <f t="shared" ref="J8:J24" si="2">((H8*7124.92)+(I8*126*29.3))*0.4</f>
        <v>717195.48800000001</v>
      </c>
      <c r="K8" s="23">
        <f t="shared" ref="K8:K9" si="3">258.78*I8</f>
        <v>37781.879999999997</v>
      </c>
      <c r="L8" s="23">
        <f>(J8*0.000216)+(K8*0.005332)+(F8*0.000216)+(G8*0.005332)</f>
        <v>431.38929148799997</v>
      </c>
      <c r="M8" s="24">
        <f>L8+M7</f>
        <v>647.08393723199993</v>
      </c>
    </row>
    <row r="9" spans="2:13" x14ac:dyDescent="0.25">
      <c r="B9" s="8"/>
      <c r="C9" s="9">
        <v>2028</v>
      </c>
      <c r="D9" s="23">
        <v>180</v>
      </c>
      <c r="E9" s="23">
        <v>70</v>
      </c>
      <c r="F9" s="23">
        <f t="shared" si="0"/>
        <v>307850.40000000002</v>
      </c>
      <c r="G9" s="23">
        <f t="shared" si="1"/>
        <v>8820</v>
      </c>
      <c r="H9" s="23">
        <v>264</v>
      </c>
      <c r="I9" s="23">
        <v>219</v>
      </c>
      <c r="J9" s="23">
        <f t="shared" si="2"/>
        <v>1075793.2320000001</v>
      </c>
      <c r="K9" s="23">
        <f t="shared" si="3"/>
        <v>56672.819999999992</v>
      </c>
      <c r="L9" s="23">
        <f t="shared" ref="L9:L31" si="4">(J9*0.000216)+(K9*0.005332)+(F9*0.000216)+(G9*0.005332)</f>
        <v>648.07474075199991</v>
      </c>
      <c r="M9" s="24">
        <f>L9+M8</f>
        <v>1295.158677984</v>
      </c>
    </row>
    <row r="10" spans="2:13" x14ac:dyDescent="0.25">
      <c r="B10" s="8"/>
      <c r="C10" s="9">
        <v>2029</v>
      </c>
      <c r="D10" s="23">
        <v>180</v>
      </c>
      <c r="E10" s="23">
        <v>70</v>
      </c>
      <c r="F10" s="23">
        <f t="shared" si="0"/>
        <v>307850.40000000002</v>
      </c>
      <c r="G10" s="23">
        <f t="shared" si="1"/>
        <v>8820</v>
      </c>
      <c r="H10" s="23">
        <v>264</v>
      </c>
      <c r="I10" s="23">
        <v>219</v>
      </c>
      <c r="J10" s="23">
        <f t="shared" si="2"/>
        <v>1075793.2320000001</v>
      </c>
      <c r="K10" s="23">
        <f t="shared" ref="K10:K22" si="5">258.78*I10</f>
        <v>56672.819999999992</v>
      </c>
      <c r="L10" s="23">
        <f t="shared" si="4"/>
        <v>648.07474075199991</v>
      </c>
      <c r="M10" s="24">
        <f t="shared" ref="M10:M31" si="6">L10+M9</f>
        <v>1943.2334187359997</v>
      </c>
    </row>
    <row r="11" spans="2:13" x14ac:dyDescent="0.25">
      <c r="B11" s="8"/>
      <c r="C11" s="9">
        <v>2030</v>
      </c>
      <c r="D11" s="23">
        <v>180</v>
      </c>
      <c r="E11" s="23">
        <v>70</v>
      </c>
      <c r="F11" s="23">
        <f t="shared" si="0"/>
        <v>307850.40000000002</v>
      </c>
      <c r="G11" s="23">
        <f t="shared" si="1"/>
        <v>8820</v>
      </c>
      <c r="H11" s="23">
        <v>264</v>
      </c>
      <c r="I11" s="23">
        <v>219</v>
      </c>
      <c r="J11" s="23">
        <f t="shared" si="2"/>
        <v>1075793.2320000001</v>
      </c>
      <c r="K11" s="23">
        <f t="shared" si="5"/>
        <v>56672.819999999992</v>
      </c>
      <c r="L11" s="23">
        <f t="shared" si="4"/>
        <v>648.07474075199991</v>
      </c>
      <c r="M11" s="25">
        <f t="shared" si="6"/>
        <v>2591.3081594879995</v>
      </c>
    </row>
    <row r="12" spans="2:13" x14ac:dyDescent="0.25">
      <c r="B12" s="8"/>
      <c r="C12" s="9">
        <v>2031</v>
      </c>
      <c r="D12" s="23">
        <v>180</v>
      </c>
      <c r="E12" s="23">
        <v>70</v>
      </c>
      <c r="F12" s="23">
        <f t="shared" si="0"/>
        <v>307850.40000000002</v>
      </c>
      <c r="G12" s="23">
        <f t="shared" si="1"/>
        <v>8820</v>
      </c>
      <c r="H12" s="23">
        <v>264</v>
      </c>
      <c r="I12" s="23">
        <v>219</v>
      </c>
      <c r="J12" s="23">
        <f t="shared" si="2"/>
        <v>1075793.2320000001</v>
      </c>
      <c r="K12" s="23">
        <f t="shared" si="5"/>
        <v>56672.819999999992</v>
      </c>
      <c r="L12" s="23">
        <f t="shared" si="4"/>
        <v>648.07474075199991</v>
      </c>
      <c r="M12" s="24">
        <f>L12+M11</f>
        <v>3239.3829002399993</v>
      </c>
    </row>
    <row r="13" spans="2:13" x14ac:dyDescent="0.25">
      <c r="B13" s="8"/>
      <c r="C13" s="9">
        <v>2032</v>
      </c>
      <c r="D13" s="23">
        <v>180</v>
      </c>
      <c r="E13" s="23">
        <v>70</v>
      </c>
      <c r="F13" s="23">
        <f t="shared" si="0"/>
        <v>307850.40000000002</v>
      </c>
      <c r="G13" s="23">
        <f t="shared" si="1"/>
        <v>8820</v>
      </c>
      <c r="H13" s="23">
        <v>264</v>
      </c>
      <c r="I13" s="23">
        <v>219</v>
      </c>
      <c r="J13" s="23">
        <f t="shared" si="2"/>
        <v>1075793.2320000001</v>
      </c>
      <c r="K13" s="23">
        <f t="shared" si="5"/>
        <v>56672.819999999992</v>
      </c>
      <c r="L13" s="23">
        <f t="shared" si="4"/>
        <v>648.07474075199991</v>
      </c>
      <c r="M13" s="24">
        <f t="shared" si="6"/>
        <v>3887.4576409919991</v>
      </c>
    </row>
    <row r="14" spans="2:13" x14ac:dyDescent="0.25">
      <c r="B14" s="8"/>
      <c r="C14" s="9">
        <v>2033</v>
      </c>
      <c r="D14" s="23">
        <v>180</v>
      </c>
      <c r="E14" s="23">
        <v>70</v>
      </c>
      <c r="F14" s="23">
        <f t="shared" si="0"/>
        <v>307850.40000000002</v>
      </c>
      <c r="G14" s="23">
        <f t="shared" si="1"/>
        <v>8820</v>
      </c>
      <c r="H14" s="23">
        <v>264</v>
      </c>
      <c r="I14" s="23">
        <v>219</v>
      </c>
      <c r="J14" s="23">
        <f t="shared" si="2"/>
        <v>1075793.2320000001</v>
      </c>
      <c r="K14" s="23">
        <f t="shared" si="5"/>
        <v>56672.819999999992</v>
      </c>
      <c r="L14" s="23">
        <f t="shared" si="4"/>
        <v>648.07474075199991</v>
      </c>
      <c r="M14" s="24">
        <f t="shared" si="6"/>
        <v>4535.5323817439994</v>
      </c>
    </row>
    <row r="15" spans="2:13" x14ac:dyDescent="0.25">
      <c r="B15" s="8"/>
      <c r="C15" s="9">
        <v>2034</v>
      </c>
      <c r="D15" s="23">
        <v>180</v>
      </c>
      <c r="E15" s="23">
        <v>70</v>
      </c>
      <c r="F15" s="23">
        <f t="shared" si="0"/>
        <v>307850.40000000002</v>
      </c>
      <c r="G15" s="23">
        <f t="shared" si="1"/>
        <v>8820</v>
      </c>
      <c r="H15" s="23">
        <v>264</v>
      </c>
      <c r="I15" s="23">
        <v>219</v>
      </c>
      <c r="J15" s="23">
        <f t="shared" si="2"/>
        <v>1075793.2320000001</v>
      </c>
      <c r="K15" s="23">
        <f t="shared" si="5"/>
        <v>56672.819999999992</v>
      </c>
      <c r="L15" s="23">
        <f t="shared" si="4"/>
        <v>648.07474075199991</v>
      </c>
      <c r="M15" s="24">
        <f t="shared" si="6"/>
        <v>5183.6071224959996</v>
      </c>
    </row>
    <row r="16" spans="2:13" x14ac:dyDescent="0.25">
      <c r="B16" s="8"/>
      <c r="C16" s="9">
        <v>2035</v>
      </c>
      <c r="D16" s="23">
        <v>180</v>
      </c>
      <c r="E16" s="23">
        <v>70</v>
      </c>
      <c r="F16" s="23">
        <f t="shared" si="0"/>
        <v>307850.40000000002</v>
      </c>
      <c r="G16" s="23">
        <f t="shared" si="1"/>
        <v>8820</v>
      </c>
      <c r="H16" s="23">
        <v>264</v>
      </c>
      <c r="I16" s="23">
        <v>219</v>
      </c>
      <c r="J16" s="23">
        <f t="shared" si="2"/>
        <v>1075793.2320000001</v>
      </c>
      <c r="K16" s="23">
        <f t="shared" si="5"/>
        <v>56672.819999999992</v>
      </c>
      <c r="L16" s="23">
        <f t="shared" si="4"/>
        <v>648.07474075199991</v>
      </c>
      <c r="M16" s="24">
        <f t="shared" si="6"/>
        <v>5831.6818632479999</v>
      </c>
    </row>
    <row r="17" spans="2:13" x14ac:dyDescent="0.25">
      <c r="B17" s="8"/>
      <c r="C17" s="9">
        <v>2036</v>
      </c>
      <c r="D17" s="23">
        <v>180</v>
      </c>
      <c r="E17" s="23">
        <v>70</v>
      </c>
      <c r="F17" s="23">
        <f t="shared" si="0"/>
        <v>307850.40000000002</v>
      </c>
      <c r="G17" s="23">
        <f t="shared" si="1"/>
        <v>8820</v>
      </c>
      <c r="H17" s="23">
        <v>264</v>
      </c>
      <c r="I17" s="23">
        <v>219</v>
      </c>
      <c r="J17" s="23">
        <f t="shared" si="2"/>
        <v>1075793.2320000001</v>
      </c>
      <c r="K17" s="23">
        <f t="shared" si="5"/>
        <v>56672.819999999992</v>
      </c>
      <c r="L17" s="23">
        <f t="shared" si="4"/>
        <v>648.07474075199991</v>
      </c>
      <c r="M17" s="24">
        <f t="shared" si="6"/>
        <v>6479.7566040000002</v>
      </c>
    </row>
    <row r="18" spans="2:13" x14ac:dyDescent="0.25">
      <c r="B18" s="8"/>
      <c r="C18" s="9">
        <v>2037</v>
      </c>
      <c r="D18" s="23">
        <v>180</v>
      </c>
      <c r="E18" s="23">
        <v>70</v>
      </c>
      <c r="F18" s="23">
        <f t="shared" si="0"/>
        <v>307850.40000000002</v>
      </c>
      <c r="G18" s="23">
        <f t="shared" si="1"/>
        <v>8820</v>
      </c>
      <c r="H18" s="23">
        <v>264</v>
      </c>
      <c r="I18" s="23">
        <v>219</v>
      </c>
      <c r="J18" s="23">
        <f t="shared" si="2"/>
        <v>1075793.2320000001</v>
      </c>
      <c r="K18" s="23">
        <f t="shared" si="5"/>
        <v>56672.819999999992</v>
      </c>
      <c r="L18" s="23">
        <f t="shared" si="4"/>
        <v>648.07474075199991</v>
      </c>
      <c r="M18" s="24">
        <f t="shared" si="6"/>
        <v>7127.8313447520004</v>
      </c>
    </row>
    <row r="19" spans="2:13" x14ac:dyDescent="0.25">
      <c r="B19" s="8"/>
      <c r="C19" s="9">
        <v>2038</v>
      </c>
      <c r="D19" s="23">
        <v>180</v>
      </c>
      <c r="E19" s="23">
        <v>70</v>
      </c>
      <c r="F19" s="23">
        <f t="shared" si="0"/>
        <v>307850.40000000002</v>
      </c>
      <c r="G19" s="23">
        <f t="shared" si="1"/>
        <v>8820</v>
      </c>
      <c r="H19" s="23">
        <v>264</v>
      </c>
      <c r="I19" s="23">
        <v>219</v>
      </c>
      <c r="J19" s="23">
        <f t="shared" si="2"/>
        <v>1075793.2320000001</v>
      </c>
      <c r="K19" s="23">
        <f t="shared" si="5"/>
        <v>56672.819999999992</v>
      </c>
      <c r="L19" s="23">
        <f t="shared" si="4"/>
        <v>648.07474075199991</v>
      </c>
      <c r="M19" s="24">
        <f t="shared" si="6"/>
        <v>7775.9060855040007</v>
      </c>
    </row>
    <row r="20" spans="2:13" x14ac:dyDescent="0.25">
      <c r="B20" s="8"/>
      <c r="C20" s="9">
        <v>2039</v>
      </c>
      <c r="D20" s="23">
        <v>180</v>
      </c>
      <c r="E20" s="23">
        <v>70</v>
      </c>
      <c r="F20" s="23">
        <f t="shared" si="0"/>
        <v>307850.40000000002</v>
      </c>
      <c r="G20" s="23">
        <f t="shared" si="1"/>
        <v>8820</v>
      </c>
      <c r="H20" s="23">
        <v>264</v>
      </c>
      <c r="I20" s="23">
        <v>219</v>
      </c>
      <c r="J20" s="23">
        <f t="shared" si="2"/>
        <v>1075793.2320000001</v>
      </c>
      <c r="K20" s="23">
        <f t="shared" si="5"/>
        <v>56672.819999999992</v>
      </c>
      <c r="L20" s="23">
        <f t="shared" si="4"/>
        <v>648.07474075199991</v>
      </c>
      <c r="M20" s="24">
        <f t="shared" si="6"/>
        <v>8423.980826256</v>
      </c>
    </row>
    <row r="21" spans="2:13" x14ac:dyDescent="0.25">
      <c r="B21" s="8"/>
      <c r="C21" s="9">
        <v>2040</v>
      </c>
      <c r="D21" s="23">
        <v>180</v>
      </c>
      <c r="E21" s="23">
        <v>70</v>
      </c>
      <c r="F21" s="23">
        <f t="shared" si="0"/>
        <v>307850.40000000002</v>
      </c>
      <c r="G21" s="23">
        <f t="shared" si="1"/>
        <v>8820</v>
      </c>
      <c r="H21" s="23">
        <v>264</v>
      </c>
      <c r="I21" s="23">
        <v>219</v>
      </c>
      <c r="J21" s="23">
        <f t="shared" si="2"/>
        <v>1075793.2320000001</v>
      </c>
      <c r="K21" s="23">
        <f t="shared" si="5"/>
        <v>56672.819999999992</v>
      </c>
      <c r="L21" s="23">
        <f t="shared" si="4"/>
        <v>648.07474075199991</v>
      </c>
      <c r="M21" s="24">
        <f t="shared" si="6"/>
        <v>9072.0555670079993</v>
      </c>
    </row>
    <row r="22" spans="2:13" x14ac:dyDescent="0.25">
      <c r="B22" s="8"/>
      <c r="C22" s="9">
        <v>2041</v>
      </c>
      <c r="D22" s="23">
        <v>180</v>
      </c>
      <c r="E22" s="23">
        <v>70</v>
      </c>
      <c r="F22" s="23">
        <f t="shared" si="0"/>
        <v>307850.40000000002</v>
      </c>
      <c r="G22" s="23">
        <f t="shared" si="1"/>
        <v>8820</v>
      </c>
      <c r="H22" s="23">
        <v>264</v>
      </c>
      <c r="I22" s="23">
        <v>219</v>
      </c>
      <c r="J22" s="23">
        <f t="shared" si="2"/>
        <v>1075793.2320000001</v>
      </c>
      <c r="K22" s="23">
        <f t="shared" si="5"/>
        <v>56672.819999999992</v>
      </c>
      <c r="L22" s="23">
        <f t="shared" si="4"/>
        <v>648.07474075199991</v>
      </c>
      <c r="M22" s="24">
        <f t="shared" si="6"/>
        <v>9720.1303077599987</v>
      </c>
    </row>
    <row r="23" spans="2:13" x14ac:dyDescent="0.25">
      <c r="B23" s="8"/>
      <c r="C23" s="9">
        <v>2042</v>
      </c>
      <c r="D23" s="23">
        <v>120</v>
      </c>
      <c r="E23" s="23">
        <v>46</v>
      </c>
      <c r="F23" s="23">
        <f t="shared" si="0"/>
        <v>204249.12000000002</v>
      </c>
      <c r="G23" s="23">
        <f t="shared" si="1"/>
        <v>5796</v>
      </c>
      <c r="H23" s="23">
        <v>176</v>
      </c>
      <c r="I23" s="23">
        <v>146</v>
      </c>
      <c r="J23" s="23">
        <f t="shared" si="2"/>
        <v>717195.48800000001</v>
      </c>
      <c r="K23" s="23">
        <f t="shared" ref="K23:K31" si="7">258.78*I23</f>
        <v>37781.879999999997</v>
      </c>
      <c r="L23" s="23">
        <f t="shared" si="4"/>
        <v>431.38929148799997</v>
      </c>
      <c r="M23" s="24">
        <f t="shared" si="6"/>
        <v>10151.519599247998</v>
      </c>
    </row>
    <row r="24" spans="2:13" x14ac:dyDescent="0.25">
      <c r="B24" s="8"/>
      <c r="C24" s="9">
        <v>2043</v>
      </c>
      <c r="D24" s="23">
        <v>60</v>
      </c>
      <c r="E24" s="23">
        <v>23</v>
      </c>
      <c r="F24" s="23">
        <f t="shared" si="0"/>
        <v>102124.56000000001</v>
      </c>
      <c r="G24" s="23">
        <f t="shared" si="1"/>
        <v>2898</v>
      </c>
      <c r="H24" s="23">
        <v>88</v>
      </c>
      <c r="I24" s="23">
        <v>73</v>
      </c>
      <c r="J24" s="23">
        <f t="shared" si="2"/>
        <v>358597.74400000001</v>
      </c>
      <c r="K24" s="23">
        <f t="shared" si="7"/>
        <v>18890.939999999999</v>
      </c>
      <c r="L24" s="23">
        <f t="shared" si="4"/>
        <v>215.69464574399998</v>
      </c>
      <c r="M24" s="24">
        <f t="shared" si="6"/>
        <v>10367.214244991999</v>
      </c>
    </row>
    <row r="25" spans="2:13" x14ac:dyDescent="0.25">
      <c r="B25" s="8"/>
      <c r="C25" s="9">
        <v>2044</v>
      </c>
      <c r="D25" s="23">
        <v>0</v>
      </c>
      <c r="E25" s="23">
        <v>0</v>
      </c>
      <c r="F25" s="23">
        <f t="shared" ref="F25:F31" si="8">((D25*2840)+(E25*126*29.3))*0.5</f>
        <v>0</v>
      </c>
      <c r="G25" s="23">
        <f t="shared" si="1"/>
        <v>0</v>
      </c>
      <c r="H25" s="23">
        <v>0</v>
      </c>
      <c r="I25" s="23">
        <v>0</v>
      </c>
      <c r="J25" s="23">
        <f t="shared" ref="J25:J31" si="9">((H25*7124.92)+(I25*126*29.3))*0.5</f>
        <v>0</v>
      </c>
      <c r="K25" s="23">
        <f t="shared" si="7"/>
        <v>0</v>
      </c>
      <c r="L25" s="23">
        <f t="shared" si="4"/>
        <v>0</v>
      </c>
      <c r="M25" s="24">
        <f t="shared" si="6"/>
        <v>10367.214244991999</v>
      </c>
    </row>
    <row r="26" spans="2:13" x14ac:dyDescent="0.25">
      <c r="B26" s="8"/>
      <c r="C26" s="9">
        <v>2045</v>
      </c>
      <c r="D26" s="23">
        <v>0</v>
      </c>
      <c r="E26" s="23">
        <v>0</v>
      </c>
      <c r="F26" s="23">
        <f t="shared" si="8"/>
        <v>0</v>
      </c>
      <c r="G26" s="23">
        <f t="shared" si="1"/>
        <v>0</v>
      </c>
      <c r="H26" s="23">
        <v>0</v>
      </c>
      <c r="I26" s="23">
        <v>0</v>
      </c>
      <c r="J26" s="23">
        <f t="shared" si="9"/>
        <v>0</v>
      </c>
      <c r="K26" s="23">
        <f t="shared" si="7"/>
        <v>0</v>
      </c>
      <c r="L26" s="23">
        <f t="shared" si="4"/>
        <v>0</v>
      </c>
      <c r="M26" s="24">
        <f t="shared" si="6"/>
        <v>10367.214244991999</v>
      </c>
    </row>
    <row r="27" spans="2:13" x14ac:dyDescent="0.25">
      <c r="B27" s="8"/>
      <c r="C27" s="9">
        <v>2046</v>
      </c>
      <c r="D27" s="23">
        <v>0</v>
      </c>
      <c r="E27" s="23">
        <v>0</v>
      </c>
      <c r="F27" s="23">
        <f t="shared" si="8"/>
        <v>0</v>
      </c>
      <c r="G27" s="23">
        <f t="shared" si="1"/>
        <v>0</v>
      </c>
      <c r="H27" s="23">
        <v>0</v>
      </c>
      <c r="I27" s="23">
        <v>0</v>
      </c>
      <c r="J27" s="23">
        <f t="shared" si="9"/>
        <v>0</v>
      </c>
      <c r="K27" s="23">
        <f t="shared" si="7"/>
        <v>0</v>
      </c>
      <c r="L27" s="23">
        <f t="shared" si="4"/>
        <v>0</v>
      </c>
      <c r="M27" s="24">
        <f t="shared" si="6"/>
        <v>10367.214244991999</v>
      </c>
    </row>
    <row r="28" spans="2:13" x14ac:dyDescent="0.25">
      <c r="B28" s="8"/>
      <c r="C28" s="9">
        <v>2047</v>
      </c>
      <c r="D28" s="23">
        <v>0</v>
      </c>
      <c r="E28" s="23">
        <v>0</v>
      </c>
      <c r="F28" s="23">
        <f t="shared" si="8"/>
        <v>0</v>
      </c>
      <c r="G28" s="23">
        <f t="shared" si="1"/>
        <v>0</v>
      </c>
      <c r="H28" s="23">
        <v>0</v>
      </c>
      <c r="I28" s="23">
        <v>0</v>
      </c>
      <c r="J28" s="23">
        <f t="shared" si="9"/>
        <v>0</v>
      </c>
      <c r="K28" s="23">
        <f t="shared" si="7"/>
        <v>0</v>
      </c>
      <c r="L28" s="23">
        <f t="shared" si="4"/>
        <v>0</v>
      </c>
      <c r="M28" s="24">
        <f t="shared" si="6"/>
        <v>10367.214244991999</v>
      </c>
    </row>
    <row r="29" spans="2:13" x14ac:dyDescent="0.25">
      <c r="B29" s="8"/>
      <c r="C29" s="9">
        <v>2048</v>
      </c>
      <c r="D29" s="23">
        <v>0</v>
      </c>
      <c r="E29" s="23">
        <v>0</v>
      </c>
      <c r="F29" s="23">
        <f t="shared" si="8"/>
        <v>0</v>
      </c>
      <c r="G29" s="23">
        <f t="shared" si="1"/>
        <v>0</v>
      </c>
      <c r="H29" s="23">
        <v>0</v>
      </c>
      <c r="I29" s="23">
        <v>0</v>
      </c>
      <c r="J29" s="23">
        <f t="shared" si="9"/>
        <v>0</v>
      </c>
      <c r="K29" s="23">
        <f t="shared" si="7"/>
        <v>0</v>
      </c>
      <c r="L29" s="23">
        <f t="shared" si="4"/>
        <v>0</v>
      </c>
      <c r="M29" s="24">
        <f t="shared" si="6"/>
        <v>10367.214244991999</v>
      </c>
    </row>
    <row r="30" spans="2:13" x14ac:dyDescent="0.25">
      <c r="B30" s="8"/>
      <c r="C30" s="9">
        <v>2049</v>
      </c>
      <c r="D30" s="23">
        <v>0</v>
      </c>
      <c r="E30" s="23">
        <v>0</v>
      </c>
      <c r="F30" s="23">
        <f t="shared" si="8"/>
        <v>0</v>
      </c>
      <c r="G30" s="23">
        <f t="shared" si="1"/>
        <v>0</v>
      </c>
      <c r="H30" s="23">
        <v>0</v>
      </c>
      <c r="I30" s="23">
        <v>0</v>
      </c>
      <c r="J30" s="23">
        <f t="shared" si="9"/>
        <v>0</v>
      </c>
      <c r="K30" s="23">
        <f t="shared" si="7"/>
        <v>0</v>
      </c>
      <c r="L30" s="23">
        <f t="shared" si="4"/>
        <v>0</v>
      </c>
      <c r="M30" s="24">
        <f t="shared" si="6"/>
        <v>10367.214244991999</v>
      </c>
    </row>
    <row r="31" spans="2:13" x14ac:dyDescent="0.25">
      <c r="B31" s="16"/>
      <c r="C31" s="2">
        <v>2050</v>
      </c>
      <c r="D31" s="4">
        <v>0</v>
      </c>
      <c r="E31" s="4">
        <v>0</v>
      </c>
      <c r="F31" s="4">
        <f t="shared" si="8"/>
        <v>0</v>
      </c>
      <c r="G31" s="4">
        <f t="shared" si="1"/>
        <v>0</v>
      </c>
      <c r="H31" s="4">
        <v>0</v>
      </c>
      <c r="I31" s="4">
        <v>0</v>
      </c>
      <c r="J31" s="4">
        <f t="shared" si="9"/>
        <v>0</v>
      </c>
      <c r="K31" s="4">
        <f t="shared" si="7"/>
        <v>0</v>
      </c>
      <c r="L31" s="4">
        <f t="shared" si="4"/>
        <v>0</v>
      </c>
      <c r="M31" s="26">
        <f t="shared" si="6"/>
        <v>10367.214244991999</v>
      </c>
    </row>
    <row r="32" spans="2:13" ht="15.75" thickBot="1" x14ac:dyDescent="0.3">
      <c r="B32" s="12"/>
      <c r="C32" s="13" t="s">
        <v>10</v>
      </c>
      <c r="D32" s="27"/>
      <c r="E32" s="27"/>
      <c r="F32" s="28">
        <f>SUM(F7:F24)</f>
        <v>4922652.96</v>
      </c>
      <c r="G32" s="28">
        <f t="shared" ref="G32" si="10">SUM(G7:G24)</f>
        <v>140868</v>
      </c>
      <c r="H32" s="27"/>
      <c r="I32" s="27"/>
      <c r="J32" s="28">
        <f>SUM(J7:J24)</f>
        <v>17212691.712000005</v>
      </c>
      <c r="K32" s="28">
        <f t="shared" ref="K32" si="11">SUM(K7:K24)</f>
        <v>906765.11999999965</v>
      </c>
      <c r="L32" s="28">
        <f>SUM(L7:L24)</f>
        <v>10367.214244991999</v>
      </c>
      <c r="M32" s="29"/>
    </row>
    <row r="33" spans="2:13" ht="15.75" thickBot="1" x14ac:dyDescent="0.3"/>
    <row r="34" spans="2:13" ht="15.75" thickBot="1" x14ac:dyDescent="0.3">
      <c r="B34" s="31" t="s">
        <v>52</v>
      </c>
    </row>
    <row r="35" spans="2:13" x14ac:dyDescent="0.25">
      <c r="B35" s="20" t="s">
        <v>11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19"/>
    </row>
    <row r="36" spans="2:13" x14ac:dyDescent="0.25">
      <c r="B36" s="8"/>
      <c r="C36" s="9"/>
      <c r="D36" s="9"/>
      <c r="E36" s="9"/>
      <c r="F36" s="9"/>
      <c r="G36" s="9"/>
      <c r="H36" s="9"/>
      <c r="I36" s="9"/>
      <c r="J36" s="9"/>
      <c r="K36" s="9"/>
      <c r="L36" s="9"/>
      <c r="M36" s="21"/>
    </row>
    <row r="37" spans="2:13" x14ac:dyDescent="0.25">
      <c r="B37" s="8"/>
      <c r="C37" s="9" t="s">
        <v>0</v>
      </c>
      <c r="D37" s="9" t="s">
        <v>1</v>
      </c>
      <c r="E37" s="9" t="s">
        <v>2</v>
      </c>
      <c r="F37" s="9" t="s">
        <v>3</v>
      </c>
      <c r="G37" s="9" t="s">
        <v>4</v>
      </c>
      <c r="H37" s="9" t="s">
        <v>5</v>
      </c>
      <c r="I37" s="9" t="s">
        <v>6</v>
      </c>
      <c r="J37" s="9" t="s">
        <v>3</v>
      </c>
      <c r="K37" s="9" t="s">
        <v>4</v>
      </c>
      <c r="L37" s="9" t="s">
        <v>7</v>
      </c>
      <c r="M37" s="21" t="s">
        <v>9</v>
      </c>
    </row>
    <row r="38" spans="2:13" x14ac:dyDescent="0.25">
      <c r="B38" s="8"/>
      <c r="C38" s="9">
        <v>2025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21">
        <v>0</v>
      </c>
    </row>
    <row r="39" spans="2:13" x14ac:dyDescent="0.25">
      <c r="B39" s="8"/>
      <c r="C39" s="9">
        <v>2026</v>
      </c>
      <c r="D39" s="9">
        <v>0</v>
      </c>
      <c r="E39" s="9">
        <v>0</v>
      </c>
      <c r="F39" s="9">
        <v>0</v>
      </c>
      <c r="G39" s="9">
        <v>0</v>
      </c>
      <c r="H39" s="9">
        <v>48</v>
      </c>
      <c r="I39" s="9">
        <v>33</v>
      </c>
      <c r="J39" s="23">
        <f>((H39*7124.92)+(I39*126*29.3))*0.4</f>
        <v>185530.22400000005</v>
      </c>
      <c r="K39" s="23">
        <f>258.78*I39</f>
        <v>8539.74</v>
      </c>
      <c r="L39" s="23">
        <f>(J39*0.000315)+(K39*0.005332)+(F39*0.000315)+(G39*0.005332)</f>
        <v>103.97591424000001</v>
      </c>
      <c r="M39" s="24">
        <f>L39+M38</f>
        <v>103.97591424000001</v>
      </c>
    </row>
    <row r="40" spans="2:13" x14ac:dyDescent="0.25">
      <c r="B40" s="8"/>
      <c r="C40" s="9">
        <v>2027</v>
      </c>
      <c r="D40" s="9">
        <v>0</v>
      </c>
      <c r="E40" s="9">
        <v>0</v>
      </c>
      <c r="F40" s="9">
        <v>0</v>
      </c>
      <c r="G40" s="9">
        <v>0</v>
      </c>
      <c r="H40" s="9">
        <v>96</v>
      </c>
      <c r="I40" s="9">
        <v>66</v>
      </c>
      <c r="J40" s="23">
        <f t="shared" ref="J40:J41" si="12">((H40*7124.92)+(I40*126*29.3))*0.4</f>
        <v>371060.44800000009</v>
      </c>
      <c r="K40" s="23">
        <f t="shared" ref="K40:K41" si="13">258.78*I40</f>
        <v>17079.48</v>
      </c>
      <c r="L40" s="23">
        <f t="shared" ref="L40:L41" si="14">(J40*0.000315)+(K40*0.005332)+(F40*0.000315)+(G40*0.005332)</f>
        <v>207.95182848000002</v>
      </c>
      <c r="M40" s="24">
        <f t="shared" ref="M40:M41" si="15">L40+M39</f>
        <v>311.92774272000003</v>
      </c>
    </row>
    <row r="41" spans="2:13" x14ac:dyDescent="0.25">
      <c r="B41" s="8"/>
      <c r="C41" s="9">
        <v>2028</v>
      </c>
      <c r="D41" s="9">
        <v>0</v>
      </c>
      <c r="E41" s="9">
        <v>0</v>
      </c>
      <c r="F41" s="9">
        <v>0</v>
      </c>
      <c r="G41" s="9">
        <v>0</v>
      </c>
      <c r="H41" s="9">
        <v>145</v>
      </c>
      <c r="I41" s="9">
        <v>98</v>
      </c>
      <c r="J41" s="23">
        <f t="shared" si="12"/>
        <v>557963.92000000004</v>
      </c>
      <c r="K41" s="23">
        <f t="shared" si="13"/>
        <v>25360.44</v>
      </c>
      <c r="L41" s="23">
        <f t="shared" si="14"/>
        <v>310.98050088000002</v>
      </c>
      <c r="M41" s="24">
        <f t="shared" si="15"/>
        <v>622.90824360000011</v>
      </c>
    </row>
    <row r="42" spans="2:13" x14ac:dyDescent="0.25">
      <c r="B42" s="8"/>
      <c r="C42" s="9">
        <v>2029</v>
      </c>
      <c r="D42" s="9">
        <v>0</v>
      </c>
      <c r="E42" s="9">
        <v>0</v>
      </c>
      <c r="F42" s="9">
        <v>0</v>
      </c>
      <c r="G42" s="9">
        <v>0</v>
      </c>
      <c r="H42" s="9">
        <v>145</v>
      </c>
      <c r="I42" s="9">
        <v>98</v>
      </c>
      <c r="J42" s="23">
        <f t="shared" ref="J42:J57" si="16">((H42*7124.92)+(I42*126*29.3))*0.4</f>
        <v>557963.92000000004</v>
      </c>
      <c r="K42" s="23">
        <f t="shared" ref="K42:K57" si="17">258.78*I42</f>
        <v>25360.44</v>
      </c>
      <c r="L42" s="23">
        <f t="shared" ref="L42:L54" si="18">(J42*0.000315)+(K42*0.005332)+(F42*0.000315)+(G42*0.005332)</f>
        <v>310.98050088000002</v>
      </c>
      <c r="M42" s="24">
        <f t="shared" ref="M42:M54" si="19">L42+M41</f>
        <v>933.88874448000013</v>
      </c>
    </row>
    <row r="43" spans="2:13" x14ac:dyDescent="0.25">
      <c r="B43" s="8"/>
      <c r="C43" s="9">
        <v>2030</v>
      </c>
      <c r="D43" s="9">
        <v>0</v>
      </c>
      <c r="E43" s="9">
        <v>0</v>
      </c>
      <c r="F43" s="9">
        <v>0</v>
      </c>
      <c r="G43" s="9">
        <v>0</v>
      </c>
      <c r="H43" s="9">
        <v>145</v>
      </c>
      <c r="I43" s="9">
        <v>98</v>
      </c>
      <c r="J43" s="23">
        <f t="shared" si="16"/>
        <v>557963.92000000004</v>
      </c>
      <c r="K43" s="23">
        <f t="shared" si="17"/>
        <v>25360.44</v>
      </c>
      <c r="L43" s="23">
        <f t="shared" si="18"/>
        <v>310.98050088000002</v>
      </c>
      <c r="M43" s="25">
        <f t="shared" si="19"/>
        <v>1244.8692453600001</v>
      </c>
    </row>
    <row r="44" spans="2:13" x14ac:dyDescent="0.25">
      <c r="B44" s="8"/>
      <c r="C44" s="9">
        <v>2031</v>
      </c>
      <c r="D44" s="9">
        <v>0</v>
      </c>
      <c r="E44" s="9">
        <v>0</v>
      </c>
      <c r="F44" s="9">
        <v>0</v>
      </c>
      <c r="G44" s="9">
        <v>0</v>
      </c>
      <c r="H44" s="9">
        <v>145</v>
      </c>
      <c r="I44" s="9">
        <v>98</v>
      </c>
      <c r="J44" s="23">
        <f t="shared" si="16"/>
        <v>557963.92000000004</v>
      </c>
      <c r="K44" s="23">
        <f t="shared" si="17"/>
        <v>25360.44</v>
      </c>
      <c r="L44" s="23">
        <f t="shared" si="18"/>
        <v>310.98050088000002</v>
      </c>
      <c r="M44" s="24">
        <f t="shared" si="19"/>
        <v>1555.8497462400001</v>
      </c>
    </row>
    <row r="45" spans="2:13" x14ac:dyDescent="0.25">
      <c r="B45" s="8"/>
      <c r="C45" s="9">
        <v>2032</v>
      </c>
      <c r="D45" s="9">
        <v>0</v>
      </c>
      <c r="E45" s="9">
        <v>0</v>
      </c>
      <c r="F45" s="9">
        <v>0</v>
      </c>
      <c r="G45" s="9">
        <v>0</v>
      </c>
      <c r="H45" s="9">
        <v>145</v>
      </c>
      <c r="I45" s="9">
        <v>98</v>
      </c>
      <c r="J45" s="23">
        <f t="shared" si="16"/>
        <v>557963.92000000004</v>
      </c>
      <c r="K45" s="23">
        <f t="shared" si="17"/>
        <v>25360.44</v>
      </c>
      <c r="L45" s="23">
        <f t="shared" si="18"/>
        <v>310.98050088000002</v>
      </c>
      <c r="M45" s="24">
        <f t="shared" si="19"/>
        <v>1866.83024712</v>
      </c>
    </row>
    <row r="46" spans="2:13" x14ac:dyDescent="0.25">
      <c r="B46" s="8"/>
      <c r="C46" s="9">
        <v>2033</v>
      </c>
      <c r="D46" s="9">
        <v>0</v>
      </c>
      <c r="E46" s="9">
        <v>0</v>
      </c>
      <c r="F46" s="9">
        <v>0</v>
      </c>
      <c r="G46" s="9">
        <v>0</v>
      </c>
      <c r="H46" s="9">
        <v>145</v>
      </c>
      <c r="I46" s="9">
        <v>98</v>
      </c>
      <c r="J46" s="23">
        <f t="shared" si="16"/>
        <v>557963.92000000004</v>
      </c>
      <c r="K46" s="23">
        <f t="shared" si="17"/>
        <v>25360.44</v>
      </c>
      <c r="L46" s="23">
        <f t="shared" si="18"/>
        <v>310.98050088000002</v>
      </c>
      <c r="M46" s="24">
        <f t="shared" si="19"/>
        <v>2177.8107479999999</v>
      </c>
    </row>
    <row r="47" spans="2:13" x14ac:dyDescent="0.25">
      <c r="B47" s="8"/>
      <c r="C47" s="9">
        <v>2034</v>
      </c>
      <c r="D47" s="9">
        <v>0</v>
      </c>
      <c r="E47" s="9">
        <v>0</v>
      </c>
      <c r="F47" s="9">
        <v>0</v>
      </c>
      <c r="G47" s="9">
        <v>0</v>
      </c>
      <c r="H47" s="9">
        <v>145</v>
      </c>
      <c r="I47" s="9">
        <v>98</v>
      </c>
      <c r="J47" s="23">
        <f t="shared" si="16"/>
        <v>557963.92000000004</v>
      </c>
      <c r="K47" s="23">
        <f t="shared" si="17"/>
        <v>25360.44</v>
      </c>
      <c r="L47" s="23">
        <f t="shared" si="18"/>
        <v>310.98050088000002</v>
      </c>
      <c r="M47" s="24">
        <f t="shared" si="19"/>
        <v>2488.7912488799998</v>
      </c>
    </row>
    <row r="48" spans="2:13" x14ac:dyDescent="0.25">
      <c r="B48" s="8"/>
      <c r="C48" s="9">
        <v>2035</v>
      </c>
      <c r="D48" s="9">
        <v>0</v>
      </c>
      <c r="E48" s="9">
        <v>0</v>
      </c>
      <c r="F48" s="9">
        <v>0</v>
      </c>
      <c r="G48" s="9">
        <v>0</v>
      </c>
      <c r="H48" s="9">
        <v>145</v>
      </c>
      <c r="I48" s="9">
        <v>98</v>
      </c>
      <c r="J48" s="23">
        <f t="shared" si="16"/>
        <v>557963.92000000004</v>
      </c>
      <c r="K48" s="23">
        <f t="shared" si="17"/>
        <v>25360.44</v>
      </c>
      <c r="L48" s="23">
        <f t="shared" si="18"/>
        <v>310.98050088000002</v>
      </c>
      <c r="M48" s="24">
        <f t="shared" si="19"/>
        <v>2799.7717497599997</v>
      </c>
    </row>
    <row r="49" spans="2:13" x14ac:dyDescent="0.25">
      <c r="B49" s="8"/>
      <c r="C49" s="9">
        <v>2036</v>
      </c>
      <c r="D49" s="9">
        <v>0</v>
      </c>
      <c r="E49" s="9">
        <v>0</v>
      </c>
      <c r="F49" s="9">
        <v>0</v>
      </c>
      <c r="G49" s="9">
        <v>0</v>
      </c>
      <c r="H49" s="9">
        <v>145</v>
      </c>
      <c r="I49" s="9">
        <v>98</v>
      </c>
      <c r="J49" s="23">
        <f t="shared" si="16"/>
        <v>557963.92000000004</v>
      </c>
      <c r="K49" s="23">
        <f t="shared" si="17"/>
        <v>25360.44</v>
      </c>
      <c r="L49" s="23">
        <f t="shared" si="18"/>
        <v>310.98050088000002</v>
      </c>
      <c r="M49" s="24">
        <f t="shared" si="19"/>
        <v>3110.7522506399996</v>
      </c>
    </row>
    <row r="50" spans="2:13" x14ac:dyDescent="0.25">
      <c r="B50" s="8"/>
      <c r="C50" s="9">
        <v>2037</v>
      </c>
      <c r="D50" s="9">
        <v>0</v>
      </c>
      <c r="E50" s="9">
        <v>0</v>
      </c>
      <c r="F50" s="9">
        <v>0</v>
      </c>
      <c r="G50" s="9">
        <v>0</v>
      </c>
      <c r="H50" s="9">
        <v>145</v>
      </c>
      <c r="I50" s="9">
        <v>98</v>
      </c>
      <c r="J50" s="23">
        <f t="shared" si="16"/>
        <v>557963.92000000004</v>
      </c>
      <c r="K50" s="23">
        <f t="shared" si="17"/>
        <v>25360.44</v>
      </c>
      <c r="L50" s="23">
        <f t="shared" si="18"/>
        <v>310.98050088000002</v>
      </c>
      <c r="M50" s="24">
        <f t="shared" si="19"/>
        <v>3421.7327515199995</v>
      </c>
    </row>
    <row r="51" spans="2:13" x14ac:dyDescent="0.25">
      <c r="B51" s="8"/>
      <c r="C51" s="9">
        <v>2038</v>
      </c>
      <c r="D51" s="9">
        <v>0</v>
      </c>
      <c r="E51" s="9">
        <v>0</v>
      </c>
      <c r="F51" s="9">
        <v>0</v>
      </c>
      <c r="G51" s="9">
        <v>0</v>
      </c>
      <c r="H51" s="9">
        <v>145</v>
      </c>
      <c r="I51" s="9">
        <v>98</v>
      </c>
      <c r="J51" s="23">
        <f t="shared" si="16"/>
        <v>557963.92000000004</v>
      </c>
      <c r="K51" s="23">
        <f t="shared" si="17"/>
        <v>25360.44</v>
      </c>
      <c r="L51" s="23">
        <f t="shared" si="18"/>
        <v>310.98050088000002</v>
      </c>
      <c r="M51" s="24">
        <f t="shared" si="19"/>
        <v>3732.7132523999994</v>
      </c>
    </row>
    <row r="52" spans="2:13" x14ac:dyDescent="0.25">
      <c r="B52" s="8"/>
      <c r="C52" s="9">
        <v>2039</v>
      </c>
      <c r="D52" s="9">
        <v>0</v>
      </c>
      <c r="E52" s="9">
        <v>0</v>
      </c>
      <c r="F52" s="9">
        <v>0</v>
      </c>
      <c r="G52" s="9">
        <v>0</v>
      </c>
      <c r="H52" s="9">
        <v>145</v>
      </c>
      <c r="I52" s="9">
        <v>98</v>
      </c>
      <c r="J52" s="23">
        <f t="shared" si="16"/>
        <v>557963.92000000004</v>
      </c>
      <c r="K52" s="23">
        <f t="shared" si="17"/>
        <v>25360.44</v>
      </c>
      <c r="L52" s="23">
        <f t="shared" si="18"/>
        <v>310.98050088000002</v>
      </c>
      <c r="M52" s="24">
        <f t="shared" si="19"/>
        <v>4043.6937532799993</v>
      </c>
    </row>
    <row r="53" spans="2:13" x14ac:dyDescent="0.25">
      <c r="B53" s="8"/>
      <c r="C53" s="9">
        <v>2040</v>
      </c>
      <c r="D53" s="9">
        <v>0</v>
      </c>
      <c r="E53" s="9">
        <v>0</v>
      </c>
      <c r="F53" s="9">
        <v>0</v>
      </c>
      <c r="G53" s="9">
        <v>0</v>
      </c>
      <c r="H53" s="9">
        <v>145</v>
      </c>
      <c r="I53" s="9">
        <v>98</v>
      </c>
      <c r="J53" s="23">
        <f t="shared" si="16"/>
        <v>557963.92000000004</v>
      </c>
      <c r="K53" s="23">
        <f t="shared" si="17"/>
        <v>25360.44</v>
      </c>
      <c r="L53" s="23">
        <f t="shared" si="18"/>
        <v>310.98050088000002</v>
      </c>
      <c r="M53" s="24">
        <f t="shared" si="19"/>
        <v>4354.6742541599997</v>
      </c>
    </row>
    <row r="54" spans="2:13" x14ac:dyDescent="0.25">
      <c r="B54" s="8"/>
      <c r="C54" s="9">
        <v>2041</v>
      </c>
      <c r="D54" s="9">
        <v>0</v>
      </c>
      <c r="E54" s="9">
        <v>0</v>
      </c>
      <c r="F54" s="9">
        <v>0</v>
      </c>
      <c r="G54" s="9">
        <v>0</v>
      </c>
      <c r="H54" s="9">
        <v>145</v>
      </c>
      <c r="I54" s="9">
        <v>98</v>
      </c>
      <c r="J54" s="23">
        <f t="shared" si="16"/>
        <v>557963.92000000004</v>
      </c>
      <c r="K54" s="23">
        <f t="shared" si="17"/>
        <v>25360.44</v>
      </c>
      <c r="L54" s="23">
        <f t="shared" si="18"/>
        <v>310.98050088000002</v>
      </c>
      <c r="M54" s="24">
        <f t="shared" si="19"/>
        <v>4665.6547550400001</v>
      </c>
    </row>
    <row r="55" spans="2:13" x14ac:dyDescent="0.25">
      <c r="B55" s="8"/>
      <c r="C55" s="9">
        <v>2042</v>
      </c>
      <c r="D55" s="9">
        <v>0</v>
      </c>
      <c r="E55" s="9">
        <v>0</v>
      </c>
      <c r="F55" s="9">
        <v>0</v>
      </c>
      <c r="G55" s="9">
        <v>0</v>
      </c>
      <c r="H55" s="9">
        <v>96</v>
      </c>
      <c r="I55" s="9">
        <v>66</v>
      </c>
      <c r="J55" s="9">
        <f t="shared" si="16"/>
        <v>371060.44800000009</v>
      </c>
      <c r="K55" s="9">
        <f t="shared" si="17"/>
        <v>17079.48</v>
      </c>
      <c r="L55" s="23">
        <f t="shared" ref="L55:L63" si="20">(J55*0.000315)+(K55*0.005332)+(F55*0.000315)+(G55*0.005332)</f>
        <v>207.95182848000002</v>
      </c>
      <c r="M55" s="24">
        <f t="shared" ref="M55:M63" si="21">L55+M54</f>
        <v>4873.6065835199997</v>
      </c>
    </row>
    <row r="56" spans="2:13" x14ac:dyDescent="0.25">
      <c r="B56" s="8"/>
      <c r="C56" s="9">
        <v>2043</v>
      </c>
      <c r="D56" s="9">
        <v>0</v>
      </c>
      <c r="E56" s="9">
        <v>0</v>
      </c>
      <c r="F56" s="9">
        <v>0</v>
      </c>
      <c r="G56" s="9">
        <v>0</v>
      </c>
      <c r="H56" s="9">
        <v>48</v>
      </c>
      <c r="I56" s="9">
        <v>33</v>
      </c>
      <c r="J56" s="9">
        <f t="shared" si="16"/>
        <v>185530.22400000005</v>
      </c>
      <c r="K56" s="9">
        <f t="shared" si="17"/>
        <v>8539.74</v>
      </c>
      <c r="L56" s="23">
        <f t="shared" si="20"/>
        <v>103.97591424000001</v>
      </c>
      <c r="M56" s="24">
        <f t="shared" si="21"/>
        <v>4977.5824977599996</v>
      </c>
    </row>
    <row r="57" spans="2:13" x14ac:dyDescent="0.25">
      <c r="B57" s="8"/>
      <c r="C57" s="9">
        <v>2044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f t="shared" si="16"/>
        <v>0</v>
      </c>
      <c r="K57" s="9">
        <f t="shared" si="17"/>
        <v>0</v>
      </c>
      <c r="L57" s="23">
        <f t="shared" si="20"/>
        <v>0</v>
      </c>
      <c r="M57" s="24">
        <f t="shared" si="21"/>
        <v>4977.5824977599996</v>
      </c>
    </row>
    <row r="58" spans="2:13" x14ac:dyDescent="0.25">
      <c r="B58" s="8"/>
      <c r="C58" s="9">
        <v>2045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f t="shared" ref="J58:J63" si="22">((H58*7124.92)+(I58*126*29.3))*0.4</f>
        <v>0</v>
      </c>
      <c r="K58" s="9">
        <f t="shared" ref="K58:K63" si="23">258.78*I58</f>
        <v>0</v>
      </c>
      <c r="L58" s="23">
        <f t="shared" si="20"/>
        <v>0</v>
      </c>
      <c r="M58" s="24">
        <f t="shared" si="21"/>
        <v>4977.5824977599996</v>
      </c>
    </row>
    <row r="59" spans="2:13" x14ac:dyDescent="0.25">
      <c r="B59" s="8"/>
      <c r="C59" s="9">
        <v>2046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f t="shared" si="22"/>
        <v>0</v>
      </c>
      <c r="K59" s="9">
        <f t="shared" si="23"/>
        <v>0</v>
      </c>
      <c r="L59" s="23">
        <f t="shared" si="20"/>
        <v>0</v>
      </c>
      <c r="M59" s="24">
        <f t="shared" si="21"/>
        <v>4977.5824977599996</v>
      </c>
    </row>
    <row r="60" spans="2:13" x14ac:dyDescent="0.25">
      <c r="B60" s="8"/>
      <c r="C60" s="9">
        <v>2047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f t="shared" si="22"/>
        <v>0</v>
      </c>
      <c r="K60" s="9">
        <f t="shared" si="23"/>
        <v>0</v>
      </c>
      <c r="L60" s="23">
        <f t="shared" si="20"/>
        <v>0</v>
      </c>
      <c r="M60" s="24">
        <f t="shared" si="21"/>
        <v>4977.5824977599996</v>
      </c>
    </row>
    <row r="61" spans="2:13" x14ac:dyDescent="0.25">
      <c r="B61" s="8"/>
      <c r="C61" s="9">
        <v>2048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f t="shared" si="22"/>
        <v>0</v>
      </c>
      <c r="K61" s="9">
        <f t="shared" si="23"/>
        <v>0</v>
      </c>
      <c r="L61" s="23">
        <f t="shared" si="20"/>
        <v>0</v>
      </c>
      <c r="M61" s="24">
        <f t="shared" si="21"/>
        <v>4977.5824977599996</v>
      </c>
    </row>
    <row r="62" spans="2:13" x14ac:dyDescent="0.25">
      <c r="B62" s="8"/>
      <c r="C62" s="9">
        <v>2049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f t="shared" si="22"/>
        <v>0</v>
      </c>
      <c r="K62" s="9">
        <f t="shared" si="23"/>
        <v>0</v>
      </c>
      <c r="L62" s="23">
        <f t="shared" si="20"/>
        <v>0</v>
      </c>
      <c r="M62" s="24">
        <f t="shared" si="21"/>
        <v>4977.5824977599996</v>
      </c>
    </row>
    <row r="63" spans="2:13" x14ac:dyDescent="0.25">
      <c r="B63" s="16"/>
      <c r="C63" s="2">
        <v>2050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f t="shared" si="22"/>
        <v>0</v>
      </c>
      <c r="K63" s="2">
        <f t="shared" si="23"/>
        <v>0</v>
      </c>
      <c r="L63" s="4">
        <f t="shared" si="20"/>
        <v>0</v>
      </c>
      <c r="M63" s="26">
        <f t="shared" si="21"/>
        <v>4977.5824977599996</v>
      </c>
    </row>
    <row r="64" spans="2:13" ht="15.75" thickBot="1" x14ac:dyDescent="0.3">
      <c r="B64" s="12"/>
      <c r="C64" s="13" t="s">
        <v>10</v>
      </c>
      <c r="D64" s="13"/>
      <c r="E64" s="13"/>
      <c r="F64" s="28">
        <f t="shared" ref="F64:G64" si="24">SUM(F39:F56)</f>
        <v>0</v>
      </c>
      <c r="G64" s="28">
        <f t="shared" si="24"/>
        <v>0</v>
      </c>
      <c r="H64" s="27"/>
      <c r="I64" s="27"/>
      <c r="J64" s="28">
        <f>SUM(J39:J56)</f>
        <v>8924676.2239999995</v>
      </c>
      <c r="K64" s="28">
        <f t="shared" ref="K64" si="25">SUM(K39:K56)</f>
        <v>406284.6</v>
      </c>
      <c r="L64" s="28">
        <f>SUM(L39:L56)</f>
        <v>4977.5824977599996</v>
      </c>
      <c r="M64" s="30"/>
    </row>
    <row r="65" spans="2:13" ht="15.75" thickBot="1" x14ac:dyDescent="0.3"/>
    <row r="66" spans="2:13" ht="15.75" thickBot="1" x14ac:dyDescent="0.3">
      <c r="B66" s="31" t="s">
        <v>53</v>
      </c>
    </row>
    <row r="67" spans="2:13" x14ac:dyDescent="0.25">
      <c r="B67" s="20" t="s">
        <v>12</v>
      </c>
      <c r="C67" s="6"/>
      <c r="D67" s="6"/>
      <c r="E67" s="6"/>
      <c r="F67" s="6"/>
      <c r="G67" s="6"/>
      <c r="H67" s="6"/>
      <c r="I67" s="6"/>
      <c r="J67" s="6"/>
      <c r="K67" s="6"/>
      <c r="L67" s="6"/>
      <c r="M67" s="19"/>
    </row>
    <row r="68" spans="2:13" x14ac:dyDescent="0.25">
      <c r="B68" s="8"/>
      <c r="C68" s="9"/>
      <c r="D68" s="9"/>
      <c r="E68" s="9"/>
      <c r="F68" s="9"/>
      <c r="G68" s="9"/>
      <c r="H68" s="9"/>
      <c r="I68" s="9"/>
      <c r="J68" s="9"/>
      <c r="K68" s="9"/>
      <c r="L68" s="9"/>
      <c r="M68" s="21"/>
    </row>
    <row r="69" spans="2:13" x14ac:dyDescent="0.25">
      <c r="B69" s="8"/>
      <c r="C69" s="9" t="s">
        <v>0</v>
      </c>
      <c r="D69" s="9" t="s">
        <v>1</v>
      </c>
      <c r="E69" s="9" t="s">
        <v>2</v>
      </c>
      <c r="F69" s="9" t="s">
        <v>3</v>
      </c>
      <c r="G69" s="9" t="s">
        <v>4</v>
      </c>
      <c r="H69" s="9" t="s">
        <v>5</v>
      </c>
      <c r="I69" s="9" t="s">
        <v>6</v>
      </c>
      <c r="J69" s="9" t="s">
        <v>3</v>
      </c>
      <c r="K69" s="9" t="s">
        <v>4</v>
      </c>
      <c r="L69" s="9" t="s">
        <v>7</v>
      </c>
      <c r="M69" s="21" t="s">
        <v>9</v>
      </c>
    </row>
    <row r="70" spans="2:13" x14ac:dyDescent="0.25">
      <c r="B70" s="8"/>
      <c r="C70" s="9">
        <v>2025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21">
        <v>0</v>
      </c>
    </row>
    <row r="71" spans="2:13" x14ac:dyDescent="0.25">
      <c r="B71" s="8"/>
      <c r="C71" s="9">
        <v>2026</v>
      </c>
      <c r="D71" s="9">
        <v>106</v>
      </c>
      <c r="E71" s="9">
        <v>60</v>
      </c>
      <c r="F71" s="23">
        <f>((D71*2840)+(E71*126*29.3))*0.4</f>
        <v>209019.2</v>
      </c>
      <c r="G71" s="23">
        <f>126*E71</f>
        <v>7560</v>
      </c>
      <c r="H71" s="9">
        <v>0</v>
      </c>
      <c r="I71" s="9">
        <v>0</v>
      </c>
      <c r="J71" s="9">
        <v>0</v>
      </c>
      <c r="K71" s="9">
        <v>0</v>
      </c>
      <c r="L71" s="23">
        <f>(J71*0.000315)+(K71*0.005332)+(F71*0.000315)+(G71*0.005332)</f>
        <v>106.15096800000001</v>
      </c>
      <c r="M71" s="24">
        <f>L71+M70</f>
        <v>106.15096800000001</v>
      </c>
    </row>
    <row r="72" spans="2:13" x14ac:dyDescent="0.25">
      <c r="B72" s="8"/>
      <c r="C72" s="9">
        <v>2027</v>
      </c>
      <c r="D72" s="9">
        <v>212</v>
      </c>
      <c r="E72" s="9">
        <v>120</v>
      </c>
      <c r="F72" s="23">
        <f t="shared" ref="F72:F73" si="26">((D72*2840)+(E72*126*29.3))*0.4</f>
        <v>418038.4</v>
      </c>
      <c r="G72" s="23">
        <f t="shared" ref="G72:G73" si="27">126*E72</f>
        <v>15120</v>
      </c>
      <c r="H72" s="9">
        <v>0</v>
      </c>
      <c r="I72" s="9">
        <v>0</v>
      </c>
      <c r="J72" s="9">
        <v>0</v>
      </c>
      <c r="K72" s="9">
        <v>0</v>
      </c>
      <c r="L72" s="23">
        <f t="shared" ref="L72:L73" si="28">(J72*0.000315)+(K72*0.005332)+(F72*0.000315)+(G72*0.005332)</f>
        <v>212.30193600000001</v>
      </c>
      <c r="M72" s="24">
        <f t="shared" ref="M72:M73" si="29">L72+M71</f>
        <v>318.45290399999999</v>
      </c>
    </row>
    <row r="73" spans="2:13" x14ac:dyDescent="0.25">
      <c r="B73" s="8"/>
      <c r="C73" s="9">
        <v>2028</v>
      </c>
      <c r="D73" s="9">
        <v>318</v>
      </c>
      <c r="E73" s="9">
        <v>181</v>
      </c>
      <c r="F73" s="23">
        <f t="shared" si="26"/>
        <v>628534.32000000007</v>
      </c>
      <c r="G73" s="23">
        <f t="shared" si="27"/>
        <v>22806</v>
      </c>
      <c r="H73" s="9">
        <v>0</v>
      </c>
      <c r="I73" s="9">
        <v>0</v>
      </c>
      <c r="J73" s="9">
        <v>0</v>
      </c>
      <c r="K73" s="9">
        <v>0</v>
      </c>
      <c r="L73" s="23">
        <f t="shared" si="28"/>
        <v>319.5899028</v>
      </c>
      <c r="M73" s="24">
        <f t="shared" si="29"/>
        <v>638.04280679999999</v>
      </c>
    </row>
    <row r="74" spans="2:13" x14ac:dyDescent="0.25">
      <c r="B74" s="8"/>
      <c r="C74" s="9">
        <v>2029</v>
      </c>
      <c r="D74" s="9">
        <v>318</v>
      </c>
      <c r="E74" s="9">
        <v>181</v>
      </c>
      <c r="F74" s="23">
        <f t="shared" ref="F74:F89" si="30">((D74*2840)+(E74*126*29.3))*0.4</f>
        <v>628534.32000000007</v>
      </c>
      <c r="G74" s="23">
        <f t="shared" ref="G74:G89" si="31">126*E74</f>
        <v>22806</v>
      </c>
      <c r="H74" s="9">
        <v>0</v>
      </c>
      <c r="I74" s="9">
        <v>0</v>
      </c>
      <c r="J74" s="9">
        <v>0</v>
      </c>
      <c r="K74" s="9">
        <v>0</v>
      </c>
      <c r="L74" s="23">
        <f t="shared" ref="L74:L86" si="32">(J74*0.000315)+(K74*0.005332)+(F74*0.000315)+(G74*0.005332)</f>
        <v>319.5899028</v>
      </c>
      <c r="M74" s="24">
        <f t="shared" ref="M74:M86" si="33">L74+M73</f>
        <v>957.6327096</v>
      </c>
    </row>
    <row r="75" spans="2:13" x14ac:dyDescent="0.25">
      <c r="B75" s="8"/>
      <c r="C75" s="9">
        <v>2030</v>
      </c>
      <c r="D75" s="9">
        <v>318</v>
      </c>
      <c r="E75" s="9">
        <v>181</v>
      </c>
      <c r="F75" s="23">
        <f t="shared" si="30"/>
        <v>628534.32000000007</v>
      </c>
      <c r="G75" s="23">
        <f t="shared" si="31"/>
        <v>22806</v>
      </c>
      <c r="H75" s="9">
        <v>0</v>
      </c>
      <c r="I75" s="9">
        <v>0</v>
      </c>
      <c r="J75" s="9">
        <v>0</v>
      </c>
      <c r="K75" s="9">
        <v>0</v>
      </c>
      <c r="L75" s="23">
        <f t="shared" si="32"/>
        <v>319.5899028</v>
      </c>
      <c r="M75" s="25">
        <f t="shared" si="33"/>
        <v>1277.2226123999999</v>
      </c>
    </row>
    <row r="76" spans="2:13" x14ac:dyDescent="0.25">
      <c r="B76" s="8"/>
      <c r="C76" s="9">
        <v>2031</v>
      </c>
      <c r="D76" s="9">
        <v>318</v>
      </c>
      <c r="E76" s="9">
        <v>181</v>
      </c>
      <c r="F76" s="23">
        <f t="shared" si="30"/>
        <v>628534.32000000007</v>
      </c>
      <c r="G76" s="23">
        <f t="shared" si="31"/>
        <v>22806</v>
      </c>
      <c r="H76" s="9">
        <v>0</v>
      </c>
      <c r="I76" s="9">
        <v>0</v>
      </c>
      <c r="J76" s="9">
        <v>0</v>
      </c>
      <c r="K76" s="9">
        <v>0</v>
      </c>
      <c r="L76" s="23">
        <f t="shared" si="32"/>
        <v>319.5899028</v>
      </c>
      <c r="M76" s="24">
        <f t="shared" si="33"/>
        <v>1596.8125151999998</v>
      </c>
    </row>
    <row r="77" spans="2:13" x14ac:dyDescent="0.25">
      <c r="B77" s="8"/>
      <c r="C77" s="9">
        <v>2032</v>
      </c>
      <c r="D77" s="9">
        <v>318</v>
      </c>
      <c r="E77" s="9">
        <v>181</v>
      </c>
      <c r="F77" s="23">
        <f t="shared" si="30"/>
        <v>628534.32000000007</v>
      </c>
      <c r="G77" s="23">
        <f t="shared" si="31"/>
        <v>22806</v>
      </c>
      <c r="H77" s="9">
        <v>0</v>
      </c>
      <c r="I77" s="9">
        <v>0</v>
      </c>
      <c r="J77" s="9">
        <v>0</v>
      </c>
      <c r="K77" s="9">
        <v>0</v>
      </c>
      <c r="L77" s="23">
        <f t="shared" si="32"/>
        <v>319.5899028</v>
      </c>
      <c r="M77" s="24">
        <f t="shared" si="33"/>
        <v>1916.4024179999997</v>
      </c>
    </row>
    <row r="78" spans="2:13" x14ac:dyDescent="0.25">
      <c r="B78" s="8"/>
      <c r="C78" s="9">
        <v>2033</v>
      </c>
      <c r="D78" s="9">
        <v>318</v>
      </c>
      <c r="E78" s="9">
        <v>181</v>
      </c>
      <c r="F78" s="23">
        <f t="shared" si="30"/>
        <v>628534.32000000007</v>
      </c>
      <c r="G78" s="23">
        <f t="shared" si="31"/>
        <v>22806</v>
      </c>
      <c r="H78" s="9">
        <v>0</v>
      </c>
      <c r="I78" s="9">
        <v>0</v>
      </c>
      <c r="J78" s="9">
        <v>0</v>
      </c>
      <c r="K78" s="9">
        <v>0</v>
      </c>
      <c r="L78" s="23">
        <f t="shared" si="32"/>
        <v>319.5899028</v>
      </c>
      <c r="M78" s="24">
        <f t="shared" si="33"/>
        <v>2235.9923207999996</v>
      </c>
    </row>
    <row r="79" spans="2:13" x14ac:dyDescent="0.25">
      <c r="B79" s="8"/>
      <c r="C79" s="9">
        <v>2034</v>
      </c>
      <c r="D79" s="9">
        <v>318</v>
      </c>
      <c r="E79" s="9">
        <v>181</v>
      </c>
      <c r="F79" s="23">
        <f t="shared" si="30"/>
        <v>628534.32000000007</v>
      </c>
      <c r="G79" s="23">
        <f t="shared" si="31"/>
        <v>22806</v>
      </c>
      <c r="H79" s="9">
        <v>0</v>
      </c>
      <c r="I79" s="9">
        <v>0</v>
      </c>
      <c r="J79" s="9">
        <v>0</v>
      </c>
      <c r="K79" s="9">
        <v>0</v>
      </c>
      <c r="L79" s="23">
        <f t="shared" si="32"/>
        <v>319.5899028</v>
      </c>
      <c r="M79" s="24">
        <f t="shared" si="33"/>
        <v>2555.5822235999995</v>
      </c>
    </row>
    <row r="80" spans="2:13" x14ac:dyDescent="0.25">
      <c r="B80" s="8"/>
      <c r="C80" s="9">
        <v>2035</v>
      </c>
      <c r="D80" s="9">
        <v>318</v>
      </c>
      <c r="E80" s="9">
        <v>181</v>
      </c>
      <c r="F80" s="23">
        <f t="shared" si="30"/>
        <v>628534.32000000007</v>
      </c>
      <c r="G80" s="23">
        <f t="shared" si="31"/>
        <v>22806</v>
      </c>
      <c r="H80" s="9">
        <v>0</v>
      </c>
      <c r="I80" s="9">
        <v>0</v>
      </c>
      <c r="J80" s="9">
        <v>0</v>
      </c>
      <c r="K80" s="9">
        <v>0</v>
      </c>
      <c r="L80" s="23">
        <f t="shared" si="32"/>
        <v>319.5899028</v>
      </c>
      <c r="M80" s="24">
        <f t="shared" si="33"/>
        <v>2875.1721263999993</v>
      </c>
    </row>
    <row r="81" spans="2:13" x14ac:dyDescent="0.25">
      <c r="B81" s="8"/>
      <c r="C81" s="9">
        <v>2036</v>
      </c>
      <c r="D81" s="9">
        <v>318</v>
      </c>
      <c r="E81" s="9">
        <v>181</v>
      </c>
      <c r="F81" s="23">
        <f t="shared" si="30"/>
        <v>628534.32000000007</v>
      </c>
      <c r="G81" s="23">
        <f t="shared" si="31"/>
        <v>22806</v>
      </c>
      <c r="H81" s="9">
        <v>0</v>
      </c>
      <c r="I81" s="9">
        <v>0</v>
      </c>
      <c r="J81" s="9">
        <v>0</v>
      </c>
      <c r="K81" s="9">
        <v>0</v>
      </c>
      <c r="L81" s="23">
        <f t="shared" si="32"/>
        <v>319.5899028</v>
      </c>
      <c r="M81" s="24">
        <f t="shared" si="33"/>
        <v>3194.7620291999992</v>
      </c>
    </row>
    <row r="82" spans="2:13" x14ac:dyDescent="0.25">
      <c r="B82" s="8"/>
      <c r="C82" s="9">
        <v>2037</v>
      </c>
      <c r="D82" s="9">
        <v>318</v>
      </c>
      <c r="E82" s="9">
        <v>181</v>
      </c>
      <c r="F82" s="23">
        <f t="shared" si="30"/>
        <v>628534.32000000007</v>
      </c>
      <c r="G82" s="23">
        <f t="shared" si="31"/>
        <v>22806</v>
      </c>
      <c r="H82" s="9">
        <v>0</v>
      </c>
      <c r="I82" s="9">
        <v>0</v>
      </c>
      <c r="J82" s="9">
        <v>0</v>
      </c>
      <c r="K82" s="9">
        <v>0</v>
      </c>
      <c r="L82" s="23">
        <f t="shared" si="32"/>
        <v>319.5899028</v>
      </c>
      <c r="M82" s="24">
        <f t="shared" si="33"/>
        <v>3514.3519319999991</v>
      </c>
    </row>
    <row r="83" spans="2:13" x14ac:dyDescent="0.25">
      <c r="B83" s="8"/>
      <c r="C83" s="9">
        <v>2038</v>
      </c>
      <c r="D83" s="9">
        <v>318</v>
      </c>
      <c r="E83" s="9">
        <v>181</v>
      </c>
      <c r="F83" s="23">
        <f t="shared" si="30"/>
        <v>628534.32000000007</v>
      </c>
      <c r="G83" s="23">
        <f t="shared" si="31"/>
        <v>22806</v>
      </c>
      <c r="H83" s="9">
        <v>0</v>
      </c>
      <c r="I83" s="9">
        <v>0</v>
      </c>
      <c r="J83" s="9">
        <v>0</v>
      </c>
      <c r="K83" s="9">
        <v>0</v>
      </c>
      <c r="L83" s="23">
        <f t="shared" si="32"/>
        <v>319.5899028</v>
      </c>
      <c r="M83" s="24">
        <f t="shared" si="33"/>
        <v>3833.941834799999</v>
      </c>
    </row>
    <row r="84" spans="2:13" x14ac:dyDescent="0.25">
      <c r="B84" s="8"/>
      <c r="C84" s="9">
        <v>2039</v>
      </c>
      <c r="D84" s="9">
        <v>318</v>
      </c>
      <c r="E84" s="9">
        <v>181</v>
      </c>
      <c r="F84" s="23">
        <f t="shared" si="30"/>
        <v>628534.32000000007</v>
      </c>
      <c r="G84" s="23">
        <f t="shared" si="31"/>
        <v>22806</v>
      </c>
      <c r="H84" s="9">
        <v>0</v>
      </c>
      <c r="I84" s="9">
        <v>0</v>
      </c>
      <c r="J84" s="9">
        <v>0</v>
      </c>
      <c r="K84" s="9">
        <v>0</v>
      </c>
      <c r="L84" s="23">
        <f t="shared" si="32"/>
        <v>319.5899028</v>
      </c>
      <c r="M84" s="24">
        <f t="shared" si="33"/>
        <v>4153.5317375999994</v>
      </c>
    </row>
    <row r="85" spans="2:13" x14ac:dyDescent="0.25">
      <c r="B85" s="8"/>
      <c r="C85" s="9">
        <v>2040</v>
      </c>
      <c r="D85" s="9">
        <v>318</v>
      </c>
      <c r="E85" s="9">
        <v>181</v>
      </c>
      <c r="F85" s="23">
        <f t="shared" si="30"/>
        <v>628534.32000000007</v>
      </c>
      <c r="G85" s="23">
        <f t="shared" si="31"/>
        <v>22806</v>
      </c>
      <c r="H85" s="9">
        <v>0</v>
      </c>
      <c r="I85" s="9">
        <v>0</v>
      </c>
      <c r="J85" s="9">
        <v>0</v>
      </c>
      <c r="K85" s="9">
        <v>0</v>
      </c>
      <c r="L85" s="23">
        <f t="shared" si="32"/>
        <v>319.5899028</v>
      </c>
      <c r="M85" s="24">
        <f t="shared" si="33"/>
        <v>4473.1216403999997</v>
      </c>
    </row>
    <row r="86" spans="2:13" x14ac:dyDescent="0.25">
      <c r="B86" s="8"/>
      <c r="C86" s="9">
        <v>2041</v>
      </c>
      <c r="D86" s="9">
        <v>318</v>
      </c>
      <c r="E86" s="9">
        <v>181</v>
      </c>
      <c r="F86" s="23">
        <f t="shared" si="30"/>
        <v>628534.32000000007</v>
      </c>
      <c r="G86" s="23">
        <f t="shared" si="31"/>
        <v>22806</v>
      </c>
      <c r="H86" s="9">
        <v>0</v>
      </c>
      <c r="I86" s="9">
        <v>0</v>
      </c>
      <c r="J86" s="9">
        <v>0</v>
      </c>
      <c r="K86" s="9">
        <v>0</v>
      </c>
      <c r="L86" s="23">
        <f t="shared" si="32"/>
        <v>319.5899028</v>
      </c>
      <c r="M86" s="24">
        <f t="shared" si="33"/>
        <v>4792.7115432000001</v>
      </c>
    </row>
    <row r="87" spans="2:13" x14ac:dyDescent="0.25">
      <c r="B87" s="8"/>
      <c r="C87" s="9">
        <v>2042</v>
      </c>
      <c r="D87" s="9">
        <v>212</v>
      </c>
      <c r="E87" s="9">
        <v>120</v>
      </c>
      <c r="F87" s="9">
        <f t="shared" si="30"/>
        <v>418038.4</v>
      </c>
      <c r="G87" s="9">
        <f t="shared" si="31"/>
        <v>15120</v>
      </c>
      <c r="H87" s="9">
        <v>0</v>
      </c>
      <c r="I87" s="9">
        <v>0</v>
      </c>
      <c r="J87" s="9">
        <v>0</v>
      </c>
      <c r="K87" s="9">
        <v>0</v>
      </c>
      <c r="L87" s="23">
        <f t="shared" ref="L87:L95" si="34">(J87*0.000315)+(K87*0.005332)+(F87*0.000315)+(G87*0.005332)</f>
        <v>212.30193600000001</v>
      </c>
      <c r="M87" s="24">
        <f t="shared" ref="M87:M95" si="35">L87+M86</f>
        <v>5005.0134791999999</v>
      </c>
    </row>
    <row r="88" spans="2:13" x14ac:dyDescent="0.25">
      <c r="B88" s="8"/>
      <c r="C88" s="9">
        <v>2043</v>
      </c>
      <c r="D88" s="9">
        <v>106</v>
      </c>
      <c r="E88" s="9">
        <v>60</v>
      </c>
      <c r="F88" s="9">
        <f t="shared" si="30"/>
        <v>209019.2</v>
      </c>
      <c r="G88" s="9">
        <f t="shared" si="31"/>
        <v>7560</v>
      </c>
      <c r="H88" s="9">
        <v>0</v>
      </c>
      <c r="I88" s="9">
        <v>0</v>
      </c>
      <c r="J88" s="9">
        <v>0</v>
      </c>
      <c r="K88" s="9">
        <v>0</v>
      </c>
      <c r="L88" s="23">
        <f t="shared" si="34"/>
        <v>106.15096800000001</v>
      </c>
      <c r="M88" s="24">
        <f t="shared" si="35"/>
        <v>5111.1644471999998</v>
      </c>
    </row>
    <row r="89" spans="2:13" x14ac:dyDescent="0.25">
      <c r="B89" s="8"/>
      <c r="C89" s="9">
        <v>2044</v>
      </c>
      <c r="D89" s="9">
        <v>0</v>
      </c>
      <c r="E89" s="9">
        <v>0</v>
      </c>
      <c r="F89" s="9">
        <f t="shared" si="30"/>
        <v>0</v>
      </c>
      <c r="G89" s="9">
        <f t="shared" si="31"/>
        <v>0</v>
      </c>
      <c r="H89" s="9">
        <v>0</v>
      </c>
      <c r="I89" s="9">
        <v>0</v>
      </c>
      <c r="J89" s="9">
        <v>0</v>
      </c>
      <c r="K89" s="9">
        <v>0</v>
      </c>
      <c r="L89" s="23">
        <f t="shared" si="34"/>
        <v>0</v>
      </c>
      <c r="M89" s="24">
        <f t="shared" si="35"/>
        <v>5111.1644471999998</v>
      </c>
    </row>
    <row r="90" spans="2:13" x14ac:dyDescent="0.25">
      <c r="B90" s="8"/>
      <c r="C90" s="9">
        <v>2045</v>
      </c>
      <c r="D90" s="9">
        <v>0</v>
      </c>
      <c r="E90" s="9">
        <v>0</v>
      </c>
      <c r="F90" s="9">
        <f t="shared" ref="F90:F95" si="36">((D90*2840)+(E90*126*29.3))*0.4</f>
        <v>0</v>
      </c>
      <c r="G90" s="9">
        <f t="shared" ref="G90:G95" si="37">126*E90</f>
        <v>0</v>
      </c>
      <c r="H90" s="9">
        <v>0</v>
      </c>
      <c r="I90" s="9">
        <v>0</v>
      </c>
      <c r="J90" s="9">
        <v>0</v>
      </c>
      <c r="K90" s="9">
        <v>0</v>
      </c>
      <c r="L90" s="23">
        <f t="shared" si="34"/>
        <v>0</v>
      </c>
      <c r="M90" s="24">
        <f t="shared" si="35"/>
        <v>5111.1644471999998</v>
      </c>
    </row>
    <row r="91" spans="2:13" x14ac:dyDescent="0.25">
      <c r="B91" s="8"/>
      <c r="C91" s="9">
        <v>2046</v>
      </c>
      <c r="D91" s="9">
        <v>0</v>
      </c>
      <c r="E91" s="9">
        <v>0</v>
      </c>
      <c r="F91" s="9">
        <f t="shared" si="36"/>
        <v>0</v>
      </c>
      <c r="G91" s="9">
        <f t="shared" si="37"/>
        <v>0</v>
      </c>
      <c r="H91" s="9">
        <v>0</v>
      </c>
      <c r="I91" s="9">
        <v>0</v>
      </c>
      <c r="J91" s="9">
        <v>0</v>
      </c>
      <c r="K91" s="9">
        <v>0</v>
      </c>
      <c r="L91" s="23">
        <f t="shared" si="34"/>
        <v>0</v>
      </c>
      <c r="M91" s="24">
        <f t="shared" si="35"/>
        <v>5111.1644471999998</v>
      </c>
    </row>
    <row r="92" spans="2:13" x14ac:dyDescent="0.25">
      <c r="B92" s="8"/>
      <c r="C92" s="9">
        <v>2047</v>
      </c>
      <c r="D92" s="9">
        <v>0</v>
      </c>
      <c r="E92" s="9">
        <v>0</v>
      </c>
      <c r="F92" s="9">
        <f t="shared" si="36"/>
        <v>0</v>
      </c>
      <c r="G92" s="9">
        <f t="shared" si="37"/>
        <v>0</v>
      </c>
      <c r="H92" s="9">
        <v>0</v>
      </c>
      <c r="I92" s="9">
        <v>0</v>
      </c>
      <c r="J92" s="9">
        <v>0</v>
      </c>
      <c r="K92" s="9">
        <v>0</v>
      </c>
      <c r="L92" s="23">
        <f t="shared" si="34"/>
        <v>0</v>
      </c>
      <c r="M92" s="24">
        <f t="shared" si="35"/>
        <v>5111.1644471999998</v>
      </c>
    </row>
    <row r="93" spans="2:13" x14ac:dyDescent="0.25">
      <c r="B93" s="8"/>
      <c r="C93" s="9">
        <v>2048</v>
      </c>
      <c r="D93" s="9">
        <v>0</v>
      </c>
      <c r="E93" s="9">
        <v>0</v>
      </c>
      <c r="F93" s="9">
        <f t="shared" si="36"/>
        <v>0</v>
      </c>
      <c r="G93" s="9">
        <f t="shared" si="37"/>
        <v>0</v>
      </c>
      <c r="H93" s="9">
        <v>0</v>
      </c>
      <c r="I93" s="9">
        <v>0</v>
      </c>
      <c r="J93" s="9">
        <v>0</v>
      </c>
      <c r="K93" s="9">
        <v>0</v>
      </c>
      <c r="L93" s="23">
        <f t="shared" si="34"/>
        <v>0</v>
      </c>
      <c r="M93" s="24">
        <f t="shared" si="35"/>
        <v>5111.1644471999998</v>
      </c>
    </row>
    <row r="94" spans="2:13" x14ac:dyDescent="0.25">
      <c r="B94" s="8"/>
      <c r="C94" s="9">
        <v>2049</v>
      </c>
      <c r="D94" s="9">
        <v>0</v>
      </c>
      <c r="E94" s="9">
        <v>0</v>
      </c>
      <c r="F94" s="9">
        <f t="shared" si="36"/>
        <v>0</v>
      </c>
      <c r="G94" s="9">
        <f t="shared" si="37"/>
        <v>0</v>
      </c>
      <c r="H94" s="9">
        <v>0</v>
      </c>
      <c r="I94" s="9">
        <v>0</v>
      </c>
      <c r="J94" s="9">
        <v>0</v>
      </c>
      <c r="K94" s="9">
        <v>0</v>
      </c>
      <c r="L94" s="23">
        <f t="shared" si="34"/>
        <v>0</v>
      </c>
      <c r="M94" s="24">
        <f t="shared" si="35"/>
        <v>5111.1644471999998</v>
      </c>
    </row>
    <row r="95" spans="2:13" x14ac:dyDescent="0.25">
      <c r="B95" s="16"/>
      <c r="C95" s="2">
        <v>2050</v>
      </c>
      <c r="D95" s="2">
        <v>0</v>
      </c>
      <c r="E95" s="2">
        <v>0</v>
      </c>
      <c r="F95" s="2">
        <f t="shared" si="36"/>
        <v>0</v>
      </c>
      <c r="G95" s="2">
        <f t="shared" si="37"/>
        <v>0</v>
      </c>
      <c r="H95" s="2">
        <v>0</v>
      </c>
      <c r="I95" s="2">
        <v>0</v>
      </c>
      <c r="J95" s="2">
        <v>0</v>
      </c>
      <c r="K95" s="2">
        <v>0</v>
      </c>
      <c r="L95" s="4">
        <f t="shared" si="34"/>
        <v>0</v>
      </c>
      <c r="M95" s="26">
        <f t="shared" si="35"/>
        <v>5111.1644471999998</v>
      </c>
    </row>
    <row r="96" spans="2:13" ht="15.75" thickBot="1" x14ac:dyDescent="0.3">
      <c r="B96" s="12"/>
      <c r="C96" s="13" t="s">
        <v>10</v>
      </c>
      <c r="D96" s="13"/>
      <c r="E96" s="13"/>
      <c r="F96" s="28">
        <f t="shared" ref="F96:G96" si="38">SUM(F71:F88)</f>
        <v>10053595.680000003</v>
      </c>
      <c r="G96" s="28">
        <f t="shared" si="38"/>
        <v>364644</v>
      </c>
      <c r="H96" s="27"/>
      <c r="I96" s="27"/>
      <c r="J96" s="28">
        <f>SUM(J71:J88)</f>
        <v>0</v>
      </c>
      <c r="K96" s="28">
        <f t="shared" ref="K96" si="39">SUM(K71:K88)</f>
        <v>0</v>
      </c>
      <c r="L96" s="28">
        <f>SUM(L71:L88)</f>
        <v>5111.1644471999998</v>
      </c>
      <c r="M96" s="30"/>
    </row>
  </sheetData>
  <pageMargins left="0.7" right="0.7" top="0.75" bottom="0.75" header="0.3" footer="0.3"/>
  <pageSetup scale="54" fitToHeight="0" orientation="landscape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D4718-8EEE-444E-AEF0-951342A22683}">
  <dimension ref="B1:F96"/>
  <sheetViews>
    <sheetView view="pageBreakPreview" topLeftCell="A45" zoomScale="60" zoomScaleNormal="85" workbookViewId="0">
      <selection activeCell="L69" sqref="L69"/>
    </sheetView>
  </sheetViews>
  <sheetFormatPr defaultColWidth="8.7109375" defaultRowHeight="15" x14ac:dyDescent="0.25"/>
  <cols>
    <col min="1" max="3" width="8.7109375" style="1"/>
    <col min="4" max="4" width="34.42578125" style="1" bestFit="1" customWidth="1"/>
    <col min="5" max="5" width="21.85546875" style="1" customWidth="1"/>
    <col min="6" max="6" width="24.140625" style="1" bestFit="1" customWidth="1"/>
    <col min="7" max="9" width="8.7109375" style="1"/>
    <col min="10" max="10" width="8.85546875" style="1" customWidth="1"/>
    <col min="11" max="16384" width="8.7109375" style="1"/>
  </cols>
  <sheetData>
    <row r="1" spans="2:6" ht="15.75" thickBot="1" x14ac:dyDescent="0.3"/>
    <row r="2" spans="2:6" ht="15.75" thickBot="1" x14ac:dyDescent="0.3">
      <c r="B2" s="31" t="s">
        <v>54</v>
      </c>
    </row>
    <row r="3" spans="2:6" x14ac:dyDescent="0.25">
      <c r="B3" s="20" t="s">
        <v>8</v>
      </c>
      <c r="C3" s="6"/>
      <c r="D3" s="6"/>
      <c r="E3" s="6"/>
      <c r="F3" s="7"/>
    </row>
    <row r="4" spans="2:6" x14ac:dyDescent="0.25">
      <c r="B4" s="8"/>
      <c r="C4" s="9"/>
      <c r="D4" s="9"/>
      <c r="E4" s="9"/>
      <c r="F4" s="10"/>
    </row>
    <row r="5" spans="2:6" x14ac:dyDescent="0.25">
      <c r="B5" s="16"/>
      <c r="C5" s="2" t="s">
        <v>0</v>
      </c>
      <c r="D5" s="2" t="s">
        <v>45</v>
      </c>
      <c r="E5" s="2" t="s">
        <v>43</v>
      </c>
      <c r="F5" s="17" t="s">
        <v>44</v>
      </c>
    </row>
    <row r="6" spans="2:6" x14ac:dyDescent="0.25">
      <c r="B6" s="8"/>
      <c r="C6" s="9">
        <v>2025</v>
      </c>
      <c r="D6" s="23">
        <v>0</v>
      </c>
      <c r="E6" s="23">
        <v>0</v>
      </c>
      <c r="F6" s="24">
        <v>0</v>
      </c>
    </row>
    <row r="7" spans="2:6" x14ac:dyDescent="0.25">
      <c r="B7" s="8"/>
      <c r="C7" s="9">
        <v>2026</v>
      </c>
      <c r="D7" s="23">
        <v>296</v>
      </c>
      <c r="E7" s="23">
        <f>D7*48*0.00045359*0.25</f>
        <v>1.6111516800000001</v>
      </c>
      <c r="F7" s="24">
        <f>E7+F6</f>
        <v>1.6111516800000001</v>
      </c>
    </row>
    <row r="8" spans="2:6" x14ac:dyDescent="0.25">
      <c r="B8" s="8"/>
      <c r="C8" s="9">
        <v>2027</v>
      </c>
      <c r="D8" s="23">
        <v>592</v>
      </c>
      <c r="E8" s="23">
        <f>D8*48*0.00045359*0.5</f>
        <v>6.4446067200000003</v>
      </c>
      <c r="F8" s="24">
        <f t="shared" ref="F8:F31" si="0">E8+F7</f>
        <v>8.0557584000000002</v>
      </c>
    </row>
    <row r="9" spans="2:6" x14ac:dyDescent="0.25">
      <c r="B9" s="8"/>
      <c r="C9" s="9">
        <v>2028</v>
      </c>
      <c r="D9" s="23">
        <v>884</v>
      </c>
      <c r="E9" s="23">
        <f>D9*48*0.00045359*0.75</f>
        <v>14.435048160000001</v>
      </c>
      <c r="F9" s="24">
        <f t="shared" si="0"/>
        <v>22.490806560000003</v>
      </c>
    </row>
    <row r="10" spans="2:6" x14ac:dyDescent="0.25">
      <c r="B10" s="8"/>
      <c r="C10" s="9">
        <v>2029</v>
      </c>
      <c r="D10" s="23">
        <v>884</v>
      </c>
      <c r="E10" s="23">
        <f>D10*48*0.00045359</f>
        <v>19.246730880000001</v>
      </c>
      <c r="F10" s="24">
        <f t="shared" si="0"/>
        <v>41.737537440000004</v>
      </c>
    </row>
    <row r="11" spans="2:6" x14ac:dyDescent="0.25">
      <c r="B11" s="8"/>
      <c r="C11" s="9">
        <v>2030</v>
      </c>
      <c r="D11" s="23">
        <v>884</v>
      </c>
      <c r="E11" s="23">
        <f t="shared" ref="E11:E31" si="1">D11*48*0.00045359</f>
        <v>19.246730880000001</v>
      </c>
      <c r="F11" s="25">
        <f t="shared" si="0"/>
        <v>60.984268320000005</v>
      </c>
    </row>
    <row r="12" spans="2:6" x14ac:dyDescent="0.25">
      <c r="B12" s="8"/>
      <c r="C12" s="9">
        <v>2031</v>
      </c>
      <c r="D12" s="23">
        <v>884</v>
      </c>
      <c r="E12" s="23">
        <f t="shared" si="1"/>
        <v>19.246730880000001</v>
      </c>
      <c r="F12" s="24">
        <f t="shared" si="0"/>
        <v>80.230999200000014</v>
      </c>
    </row>
    <row r="13" spans="2:6" x14ac:dyDescent="0.25">
      <c r="B13" s="8"/>
      <c r="C13" s="9">
        <v>2032</v>
      </c>
      <c r="D13" s="23">
        <v>884</v>
      </c>
      <c r="E13" s="23">
        <f t="shared" si="1"/>
        <v>19.246730880000001</v>
      </c>
      <c r="F13" s="24">
        <f t="shared" si="0"/>
        <v>99.477730080000015</v>
      </c>
    </row>
    <row r="14" spans="2:6" x14ac:dyDescent="0.25">
      <c r="B14" s="8"/>
      <c r="C14" s="9">
        <v>2033</v>
      </c>
      <c r="D14" s="23">
        <v>884</v>
      </c>
      <c r="E14" s="23">
        <f t="shared" si="1"/>
        <v>19.246730880000001</v>
      </c>
      <c r="F14" s="24">
        <f t="shared" si="0"/>
        <v>118.72446096000002</v>
      </c>
    </row>
    <row r="15" spans="2:6" x14ac:dyDescent="0.25">
      <c r="B15" s="8"/>
      <c r="C15" s="9">
        <v>2034</v>
      </c>
      <c r="D15" s="23">
        <v>884</v>
      </c>
      <c r="E15" s="23">
        <f t="shared" si="1"/>
        <v>19.246730880000001</v>
      </c>
      <c r="F15" s="24">
        <f t="shared" si="0"/>
        <v>137.97119184000002</v>
      </c>
    </row>
    <row r="16" spans="2:6" x14ac:dyDescent="0.25">
      <c r="B16" s="8"/>
      <c r="C16" s="9">
        <v>2035</v>
      </c>
      <c r="D16" s="23">
        <v>884</v>
      </c>
      <c r="E16" s="23">
        <f t="shared" si="1"/>
        <v>19.246730880000001</v>
      </c>
      <c r="F16" s="24">
        <f t="shared" si="0"/>
        <v>157.21792272000002</v>
      </c>
    </row>
    <row r="17" spans="2:6" x14ac:dyDescent="0.25">
      <c r="B17" s="8"/>
      <c r="C17" s="9">
        <v>2036</v>
      </c>
      <c r="D17" s="23">
        <v>884</v>
      </c>
      <c r="E17" s="23">
        <f t="shared" si="1"/>
        <v>19.246730880000001</v>
      </c>
      <c r="F17" s="24">
        <f t="shared" si="0"/>
        <v>176.46465360000002</v>
      </c>
    </row>
    <row r="18" spans="2:6" x14ac:dyDescent="0.25">
      <c r="B18" s="8"/>
      <c r="C18" s="9">
        <v>2037</v>
      </c>
      <c r="D18" s="23">
        <v>884</v>
      </c>
      <c r="E18" s="23">
        <f t="shared" si="1"/>
        <v>19.246730880000001</v>
      </c>
      <c r="F18" s="24">
        <f t="shared" si="0"/>
        <v>195.71138448000002</v>
      </c>
    </row>
    <row r="19" spans="2:6" x14ac:dyDescent="0.25">
      <c r="B19" s="8"/>
      <c r="C19" s="9">
        <v>2038</v>
      </c>
      <c r="D19" s="23">
        <v>884</v>
      </c>
      <c r="E19" s="23">
        <f t="shared" si="1"/>
        <v>19.246730880000001</v>
      </c>
      <c r="F19" s="24">
        <f t="shared" si="0"/>
        <v>214.95811536000002</v>
      </c>
    </row>
    <row r="20" spans="2:6" x14ac:dyDescent="0.25">
      <c r="B20" s="8"/>
      <c r="C20" s="9">
        <v>2039</v>
      </c>
      <c r="D20" s="23">
        <v>884</v>
      </c>
      <c r="E20" s="23">
        <f t="shared" si="1"/>
        <v>19.246730880000001</v>
      </c>
      <c r="F20" s="24">
        <f t="shared" si="0"/>
        <v>234.20484624000002</v>
      </c>
    </row>
    <row r="21" spans="2:6" x14ac:dyDescent="0.25">
      <c r="B21" s="8"/>
      <c r="C21" s="9">
        <v>2040</v>
      </c>
      <c r="D21" s="23">
        <v>884</v>
      </c>
      <c r="E21" s="23">
        <f t="shared" si="1"/>
        <v>19.246730880000001</v>
      </c>
      <c r="F21" s="24">
        <f t="shared" si="0"/>
        <v>253.45157712000002</v>
      </c>
    </row>
    <row r="22" spans="2:6" x14ac:dyDescent="0.25">
      <c r="B22" s="8"/>
      <c r="C22" s="9">
        <v>2041</v>
      </c>
      <c r="D22" s="23">
        <v>884</v>
      </c>
      <c r="E22" s="23">
        <f t="shared" si="1"/>
        <v>19.246730880000001</v>
      </c>
      <c r="F22" s="24">
        <f t="shared" si="0"/>
        <v>272.698308</v>
      </c>
    </row>
    <row r="23" spans="2:6" x14ac:dyDescent="0.25">
      <c r="B23" s="8"/>
      <c r="C23" s="9">
        <v>2042</v>
      </c>
      <c r="D23" s="23">
        <v>884</v>
      </c>
      <c r="E23" s="23">
        <f t="shared" si="1"/>
        <v>19.246730880000001</v>
      </c>
      <c r="F23" s="24">
        <f t="shared" si="0"/>
        <v>291.94503887999997</v>
      </c>
    </row>
    <row r="24" spans="2:6" x14ac:dyDescent="0.25">
      <c r="B24" s="8"/>
      <c r="C24" s="9">
        <v>2043</v>
      </c>
      <c r="D24" s="23">
        <v>884</v>
      </c>
      <c r="E24" s="23">
        <f t="shared" si="1"/>
        <v>19.246730880000001</v>
      </c>
      <c r="F24" s="24">
        <f t="shared" si="0"/>
        <v>311.19176975999994</v>
      </c>
    </row>
    <row r="25" spans="2:6" x14ac:dyDescent="0.25">
      <c r="B25" s="8"/>
      <c r="C25" s="9">
        <v>2044</v>
      </c>
      <c r="D25" s="23">
        <v>884</v>
      </c>
      <c r="E25" s="23">
        <f t="shared" si="1"/>
        <v>19.246730880000001</v>
      </c>
      <c r="F25" s="24">
        <f t="shared" si="0"/>
        <v>330.43850063999992</v>
      </c>
    </row>
    <row r="26" spans="2:6" x14ac:dyDescent="0.25">
      <c r="B26" s="8"/>
      <c r="C26" s="9">
        <v>2045</v>
      </c>
      <c r="D26" s="23">
        <v>884</v>
      </c>
      <c r="E26" s="23">
        <f t="shared" si="1"/>
        <v>19.246730880000001</v>
      </c>
      <c r="F26" s="24">
        <f t="shared" si="0"/>
        <v>349.68523151999989</v>
      </c>
    </row>
    <row r="27" spans="2:6" x14ac:dyDescent="0.25">
      <c r="B27" s="8"/>
      <c r="C27" s="9">
        <v>2046</v>
      </c>
      <c r="D27" s="23">
        <v>884</v>
      </c>
      <c r="E27" s="23">
        <f t="shared" si="1"/>
        <v>19.246730880000001</v>
      </c>
      <c r="F27" s="24">
        <f t="shared" si="0"/>
        <v>368.93196239999986</v>
      </c>
    </row>
    <row r="28" spans="2:6" x14ac:dyDescent="0.25">
      <c r="B28" s="8"/>
      <c r="C28" s="9">
        <v>2047</v>
      </c>
      <c r="D28" s="23">
        <v>884</v>
      </c>
      <c r="E28" s="23">
        <f t="shared" si="1"/>
        <v>19.246730880000001</v>
      </c>
      <c r="F28" s="24">
        <f t="shared" si="0"/>
        <v>388.17869327999983</v>
      </c>
    </row>
    <row r="29" spans="2:6" x14ac:dyDescent="0.25">
      <c r="B29" s="8"/>
      <c r="C29" s="9">
        <v>2048</v>
      </c>
      <c r="D29" s="23">
        <v>884</v>
      </c>
      <c r="E29" s="23">
        <f t="shared" si="1"/>
        <v>19.246730880000001</v>
      </c>
      <c r="F29" s="24">
        <f t="shared" si="0"/>
        <v>407.42542415999981</v>
      </c>
    </row>
    <row r="30" spans="2:6" x14ac:dyDescent="0.25">
      <c r="B30" s="8"/>
      <c r="C30" s="9">
        <v>2049</v>
      </c>
      <c r="D30" s="23">
        <v>884</v>
      </c>
      <c r="E30" s="23">
        <f t="shared" si="1"/>
        <v>19.246730880000001</v>
      </c>
      <c r="F30" s="24">
        <f t="shared" si="0"/>
        <v>426.67215503999978</v>
      </c>
    </row>
    <row r="31" spans="2:6" x14ac:dyDescent="0.25">
      <c r="B31" s="16"/>
      <c r="C31" s="2">
        <v>2050</v>
      </c>
      <c r="D31" s="4">
        <v>884</v>
      </c>
      <c r="E31" s="4">
        <f t="shared" si="1"/>
        <v>19.246730880000001</v>
      </c>
      <c r="F31" s="26">
        <f t="shared" si="0"/>
        <v>445.91888591999975</v>
      </c>
    </row>
    <row r="32" spans="2:6" ht="15.75" thickBot="1" x14ac:dyDescent="0.3">
      <c r="B32" s="12"/>
      <c r="C32" s="13" t="s">
        <v>10</v>
      </c>
      <c r="D32" s="27"/>
      <c r="E32" s="28">
        <f>SUM(E7:E31)</f>
        <v>445.91888591999975</v>
      </c>
      <c r="F32" s="15"/>
    </row>
    <row r="33" spans="2:6" ht="15.75" thickBot="1" x14ac:dyDescent="0.3"/>
    <row r="34" spans="2:6" ht="15.75" thickBot="1" x14ac:dyDescent="0.3">
      <c r="B34" s="31" t="s">
        <v>55</v>
      </c>
    </row>
    <row r="35" spans="2:6" x14ac:dyDescent="0.25">
      <c r="B35" s="20" t="s">
        <v>11</v>
      </c>
      <c r="C35" s="6"/>
      <c r="D35" s="6"/>
      <c r="E35" s="6"/>
      <c r="F35" s="7"/>
    </row>
    <row r="36" spans="2:6" x14ac:dyDescent="0.25">
      <c r="B36" s="8"/>
      <c r="C36" s="9"/>
      <c r="D36" s="9"/>
      <c r="E36" s="9"/>
      <c r="F36" s="10"/>
    </row>
    <row r="37" spans="2:6" x14ac:dyDescent="0.25">
      <c r="B37" s="16"/>
      <c r="C37" s="2" t="s">
        <v>0</v>
      </c>
      <c r="D37" s="2" t="s">
        <v>45</v>
      </c>
      <c r="E37" s="2" t="s">
        <v>43</v>
      </c>
      <c r="F37" s="17" t="s">
        <v>44</v>
      </c>
    </row>
    <row r="38" spans="2:6" x14ac:dyDescent="0.25">
      <c r="B38" s="8"/>
      <c r="C38" s="9">
        <v>2025</v>
      </c>
      <c r="D38" s="23">
        <v>0</v>
      </c>
      <c r="E38" s="23">
        <v>0</v>
      </c>
      <c r="F38" s="24">
        <v>0</v>
      </c>
    </row>
    <row r="39" spans="2:6" x14ac:dyDescent="0.25">
      <c r="B39" s="8"/>
      <c r="C39" s="9">
        <v>2026</v>
      </c>
      <c r="D39" s="23">
        <v>97</v>
      </c>
      <c r="E39" s="23">
        <f>D39*48*0.00045359*0.25</f>
        <v>0.52797875999999999</v>
      </c>
      <c r="F39" s="24">
        <f>E39+F38</f>
        <v>0.52797875999999999</v>
      </c>
    </row>
    <row r="40" spans="2:6" x14ac:dyDescent="0.25">
      <c r="B40" s="8"/>
      <c r="C40" s="9">
        <v>2027</v>
      </c>
      <c r="D40" s="23">
        <v>194</v>
      </c>
      <c r="E40" s="23">
        <f>D40*48*0.00045359*0.5</f>
        <v>2.11191504</v>
      </c>
      <c r="F40" s="24">
        <f t="shared" ref="F40:F63" si="2">E40+F39</f>
        <v>2.6398937999999998</v>
      </c>
    </row>
    <row r="41" spans="2:6" x14ac:dyDescent="0.25">
      <c r="B41" s="8"/>
      <c r="C41" s="9">
        <v>2028</v>
      </c>
      <c r="D41" s="23">
        <v>290</v>
      </c>
      <c r="E41" s="23">
        <f>D41*48*0.00045359*0.75</f>
        <v>4.7354795999999997</v>
      </c>
      <c r="F41" s="24">
        <f t="shared" si="2"/>
        <v>7.3753733999999991</v>
      </c>
    </row>
    <row r="42" spans="2:6" x14ac:dyDescent="0.25">
      <c r="B42" s="8"/>
      <c r="C42" s="9">
        <v>2029</v>
      </c>
      <c r="D42" s="23">
        <v>290</v>
      </c>
      <c r="E42" s="23">
        <f>D42*48*0.00045359</f>
        <v>6.3139728000000002</v>
      </c>
      <c r="F42" s="24">
        <f t="shared" si="2"/>
        <v>13.689346199999999</v>
      </c>
    </row>
    <row r="43" spans="2:6" x14ac:dyDescent="0.25">
      <c r="B43" s="8"/>
      <c r="C43" s="9">
        <v>2030</v>
      </c>
      <c r="D43" s="23">
        <v>290</v>
      </c>
      <c r="E43" s="23">
        <f t="shared" ref="E43:E63" si="3">D43*48*0.00045359</f>
        <v>6.3139728000000002</v>
      </c>
      <c r="F43" s="25">
        <f t="shared" si="2"/>
        <v>20.003318999999998</v>
      </c>
    </row>
    <row r="44" spans="2:6" x14ac:dyDescent="0.25">
      <c r="B44" s="8"/>
      <c r="C44" s="9">
        <v>2031</v>
      </c>
      <c r="D44" s="23">
        <v>290</v>
      </c>
      <c r="E44" s="23">
        <f t="shared" si="3"/>
        <v>6.3139728000000002</v>
      </c>
      <c r="F44" s="24">
        <f t="shared" si="2"/>
        <v>26.3172918</v>
      </c>
    </row>
    <row r="45" spans="2:6" x14ac:dyDescent="0.25">
      <c r="B45" s="8"/>
      <c r="C45" s="9">
        <v>2032</v>
      </c>
      <c r="D45" s="23">
        <v>290</v>
      </c>
      <c r="E45" s="23">
        <f t="shared" si="3"/>
        <v>6.3139728000000002</v>
      </c>
      <c r="F45" s="24">
        <f t="shared" si="2"/>
        <v>32.631264600000002</v>
      </c>
    </row>
    <row r="46" spans="2:6" x14ac:dyDescent="0.25">
      <c r="B46" s="8"/>
      <c r="C46" s="9">
        <v>2033</v>
      </c>
      <c r="D46" s="23">
        <v>290</v>
      </c>
      <c r="E46" s="23">
        <f t="shared" si="3"/>
        <v>6.3139728000000002</v>
      </c>
      <c r="F46" s="24">
        <f t="shared" si="2"/>
        <v>38.945237400000003</v>
      </c>
    </row>
    <row r="47" spans="2:6" x14ac:dyDescent="0.25">
      <c r="B47" s="8"/>
      <c r="C47" s="9">
        <v>2034</v>
      </c>
      <c r="D47" s="23">
        <v>290</v>
      </c>
      <c r="E47" s="23">
        <f t="shared" si="3"/>
        <v>6.3139728000000002</v>
      </c>
      <c r="F47" s="24">
        <f t="shared" si="2"/>
        <v>45.259210200000005</v>
      </c>
    </row>
    <row r="48" spans="2:6" x14ac:dyDescent="0.25">
      <c r="B48" s="8"/>
      <c r="C48" s="9">
        <v>2035</v>
      </c>
      <c r="D48" s="23">
        <v>290</v>
      </c>
      <c r="E48" s="23">
        <f t="shared" si="3"/>
        <v>6.3139728000000002</v>
      </c>
      <c r="F48" s="24">
        <f t="shared" si="2"/>
        <v>51.573183000000007</v>
      </c>
    </row>
    <row r="49" spans="2:6" x14ac:dyDescent="0.25">
      <c r="B49" s="8"/>
      <c r="C49" s="9">
        <v>2036</v>
      </c>
      <c r="D49" s="23">
        <v>290</v>
      </c>
      <c r="E49" s="23">
        <f t="shared" si="3"/>
        <v>6.3139728000000002</v>
      </c>
      <c r="F49" s="24">
        <f t="shared" si="2"/>
        <v>57.887155800000009</v>
      </c>
    </row>
    <row r="50" spans="2:6" x14ac:dyDescent="0.25">
      <c r="B50" s="8"/>
      <c r="C50" s="9">
        <v>2037</v>
      </c>
      <c r="D50" s="23">
        <v>290</v>
      </c>
      <c r="E50" s="23">
        <f t="shared" si="3"/>
        <v>6.3139728000000002</v>
      </c>
      <c r="F50" s="24">
        <f t="shared" si="2"/>
        <v>64.201128600000004</v>
      </c>
    </row>
    <row r="51" spans="2:6" x14ac:dyDescent="0.25">
      <c r="B51" s="8"/>
      <c r="C51" s="9">
        <v>2038</v>
      </c>
      <c r="D51" s="23">
        <v>290</v>
      </c>
      <c r="E51" s="23">
        <f t="shared" si="3"/>
        <v>6.3139728000000002</v>
      </c>
      <c r="F51" s="24">
        <f t="shared" si="2"/>
        <v>70.515101400000006</v>
      </c>
    </row>
    <row r="52" spans="2:6" x14ac:dyDescent="0.25">
      <c r="B52" s="8"/>
      <c r="C52" s="9">
        <v>2039</v>
      </c>
      <c r="D52" s="23">
        <v>290</v>
      </c>
      <c r="E52" s="23">
        <f t="shared" si="3"/>
        <v>6.3139728000000002</v>
      </c>
      <c r="F52" s="24">
        <f t="shared" si="2"/>
        <v>76.829074200000008</v>
      </c>
    </row>
    <row r="53" spans="2:6" x14ac:dyDescent="0.25">
      <c r="B53" s="8"/>
      <c r="C53" s="9">
        <v>2040</v>
      </c>
      <c r="D53" s="23">
        <v>290</v>
      </c>
      <c r="E53" s="23">
        <f t="shared" si="3"/>
        <v>6.3139728000000002</v>
      </c>
      <c r="F53" s="24">
        <f t="shared" si="2"/>
        <v>83.14304700000001</v>
      </c>
    </row>
    <row r="54" spans="2:6" x14ac:dyDescent="0.25">
      <c r="B54" s="8"/>
      <c r="C54" s="9">
        <v>2041</v>
      </c>
      <c r="D54" s="23">
        <v>290</v>
      </c>
      <c r="E54" s="23">
        <f t="shared" si="3"/>
        <v>6.3139728000000002</v>
      </c>
      <c r="F54" s="24">
        <f t="shared" si="2"/>
        <v>89.457019800000012</v>
      </c>
    </row>
    <row r="55" spans="2:6" x14ac:dyDescent="0.25">
      <c r="B55" s="8"/>
      <c r="C55" s="9">
        <v>2042</v>
      </c>
      <c r="D55" s="23">
        <v>290</v>
      </c>
      <c r="E55" s="23">
        <f t="shared" si="3"/>
        <v>6.3139728000000002</v>
      </c>
      <c r="F55" s="24">
        <f t="shared" si="2"/>
        <v>95.770992600000014</v>
      </c>
    </row>
    <row r="56" spans="2:6" x14ac:dyDescent="0.25">
      <c r="B56" s="8"/>
      <c r="C56" s="9">
        <v>2043</v>
      </c>
      <c r="D56" s="23">
        <v>290</v>
      </c>
      <c r="E56" s="23">
        <f t="shared" si="3"/>
        <v>6.3139728000000002</v>
      </c>
      <c r="F56" s="24">
        <f t="shared" si="2"/>
        <v>102.08496540000002</v>
      </c>
    </row>
    <row r="57" spans="2:6" x14ac:dyDescent="0.25">
      <c r="B57" s="8"/>
      <c r="C57" s="9">
        <v>2044</v>
      </c>
      <c r="D57" s="23">
        <v>290</v>
      </c>
      <c r="E57" s="23">
        <f t="shared" si="3"/>
        <v>6.3139728000000002</v>
      </c>
      <c r="F57" s="24">
        <f t="shared" si="2"/>
        <v>108.39893820000002</v>
      </c>
    </row>
    <row r="58" spans="2:6" x14ac:dyDescent="0.25">
      <c r="B58" s="8"/>
      <c r="C58" s="9">
        <v>2045</v>
      </c>
      <c r="D58" s="23">
        <v>290</v>
      </c>
      <c r="E58" s="23">
        <f t="shared" si="3"/>
        <v>6.3139728000000002</v>
      </c>
      <c r="F58" s="24">
        <f t="shared" si="2"/>
        <v>114.71291100000002</v>
      </c>
    </row>
    <row r="59" spans="2:6" x14ac:dyDescent="0.25">
      <c r="B59" s="8"/>
      <c r="C59" s="9">
        <v>2046</v>
      </c>
      <c r="D59" s="23">
        <v>290</v>
      </c>
      <c r="E59" s="23">
        <f t="shared" si="3"/>
        <v>6.3139728000000002</v>
      </c>
      <c r="F59" s="24">
        <f t="shared" si="2"/>
        <v>121.02688380000002</v>
      </c>
    </row>
    <row r="60" spans="2:6" x14ac:dyDescent="0.25">
      <c r="B60" s="8"/>
      <c r="C60" s="9">
        <v>2047</v>
      </c>
      <c r="D60" s="23">
        <v>290</v>
      </c>
      <c r="E60" s="23">
        <f t="shared" si="3"/>
        <v>6.3139728000000002</v>
      </c>
      <c r="F60" s="24">
        <f t="shared" si="2"/>
        <v>127.34085660000002</v>
      </c>
    </row>
    <row r="61" spans="2:6" x14ac:dyDescent="0.25">
      <c r="B61" s="8"/>
      <c r="C61" s="9">
        <v>2048</v>
      </c>
      <c r="D61" s="23">
        <v>290</v>
      </c>
      <c r="E61" s="23">
        <f t="shared" si="3"/>
        <v>6.3139728000000002</v>
      </c>
      <c r="F61" s="24">
        <f t="shared" si="2"/>
        <v>133.65482940000001</v>
      </c>
    </row>
    <row r="62" spans="2:6" x14ac:dyDescent="0.25">
      <c r="B62" s="8"/>
      <c r="C62" s="9">
        <v>2049</v>
      </c>
      <c r="D62" s="23">
        <v>290</v>
      </c>
      <c r="E62" s="23">
        <f t="shared" si="3"/>
        <v>6.3139728000000002</v>
      </c>
      <c r="F62" s="24">
        <f t="shared" si="2"/>
        <v>139.9688022</v>
      </c>
    </row>
    <row r="63" spans="2:6" x14ac:dyDescent="0.25">
      <c r="B63" s="16"/>
      <c r="C63" s="2">
        <v>2050</v>
      </c>
      <c r="D63" s="4">
        <v>290</v>
      </c>
      <c r="E63" s="4">
        <f t="shared" si="3"/>
        <v>6.3139728000000002</v>
      </c>
      <c r="F63" s="26">
        <f t="shared" si="2"/>
        <v>146.28277499999999</v>
      </c>
    </row>
    <row r="64" spans="2:6" ht="15.75" thickBot="1" x14ac:dyDescent="0.3">
      <c r="B64" s="12"/>
      <c r="C64" s="13" t="s">
        <v>10</v>
      </c>
      <c r="D64" s="27"/>
      <c r="E64" s="28">
        <f>SUM(E39:E63)</f>
        <v>146.28277499999999</v>
      </c>
      <c r="F64" s="15"/>
    </row>
    <row r="65" spans="2:6" ht="15.75" thickBot="1" x14ac:dyDescent="0.3"/>
    <row r="66" spans="2:6" ht="15.75" thickBot="1" x14ac:dyDescent="0.3">
      <c r="B66" s="31" t="s">
        <v>56</v>
      </c>
    </row>
    <row r="67" spans="2:6" x14ac:dyDescent="0.25">
      <c r="B67" s="20" t="s">
        <v>12</v>
      </c>
      <c r="C67" s="6"/>
      <c r="D67" s="6"/>
      <c r="E67" s="6"/>
      <c r="F67" s="7"/>
    </row>
    <row r="68" spans="2:6" x14ac:dyDescent="0.25">
      <c r="B68" s="8"/>
      <c r="C68" s="9"/>
      <c r="D68" s="9"/>
      <c r="E68" s="9"/>
      <c r="F68" s="10"/>
    </row>
    <row r="69" spans="2:6" x14ac:dyDescent="0.25">
      <c r="B69" s="16"/>
      <c r="C69" s="2" t="s">
        <v>0</v>
      </c>
      <c r="D69" s="2" t="s">
        <v>45</v>
      </c>
      <c r="E69" s="2" t="s">
        <v>43</v>
      </c>
      <c r="F69" s="17" t="s">
        <v>44</v>
      </c>
    </row>
    <row r="70" spans="2:6" x14ac:dyDescent="0.25">
      <c r="B70" s="8"/>
      <c r="C70" s="9">
        <v>2025</v>
      </c>
      <c r="D70" s="23">
        <v>0</v>
      </c>
      <c r="E70" s="23">
        <v>0</v>
      </c>
      <c r="F70" s="24">
        <v>0</v>
      </c>
    </row>
    <row r="71" spans="2:6" x14ac:dyDescent="0.25">
      <c r="B71" s="8"/>
      <c r="C71" s="9">
        <v>2026</v>
      </c>
      <c r="D71" s="23">
        <v>212</v>
      </c>
      <c r="E71" s="23">
        <f>D71*48*0.00045359*0.25</f>
        <v>1.1539329600000001</v>
      </c>
      <c r="F71" s="24">
        <f>E71+F70</f>
        <v>1.1539329600000001</v>
      </c>
    </row>
    <row r="72" spans="2:6" x14ac:dyDescent="0.25">
      <c r="B72" s="8"/>
      <c r="C72" s="9">
        <v>2027</v>
      </c>
      <c r="D72" s="23">
        <v>424</v>
      </c>
      <c r="E72" s="23">
        <f>D72*48*0.00045359*0.5</f>
        <v>4.6157318400000005</v>
      </c>
      <c r="F72" s="24">
        <f t="shared" ref="F72:F95" si="4">E72+F71</f>
        <v>5.769664800000001</v>
      </c>
    </row>
    <row r="73" spans="2:6" x14ac:dyDescent="0.25">
      <c r="B73" s="8"/>
      <c r="C73" s="9">
        <v>2028</v>
      </c>
      <c r="D73" s="23">
        <v>636</v>
      </c>
      <c r="E73" s="23">
        <f>D73*48*0.00045359*0.75</f>
        <v>10.385396640000002</v>
      </c>
      <c r="F73" s="24">
        <f t="shared" si="4"/>
        <v>16.155061440000004</v>
      </c>
    </row>
    <row r="74" spans="2:6" x14ac:dyDescent="0.25">
      <c r="B74" s="8"/>
      <c r="C74" s="9">
        <v>2029</v>
      </c>
      <c r="D74" s="23">
        <v>636</v>
      </c>
      <c r="E74" s="23">
        <f>D74*48*0.00045359</f>
        <v>13.847195520000001</v>
      </c>
      <c r="F74" s="24">
        <f t="shared" si="4"/>
        <v>30.002256960000004</v>
      </c>
    </row>
    <row r="75" spans="2:6" x14ac:dyDescent="0.25">
      <c r="B75" s="8"/>
      <c r="C75" s="9">
        <v>2030</v>
      </c>
      <c r="D75" s="23">
        <v>636</v>
      </c>
      <c r="E75" s="23">
        <f t="shared" ref="E75:E95" si="5">D75*48*0.00045359</f>
        <v>13.847195520000001</v>
      </c>
      <c r="F75" s="25">
        <f t="shared" si="4"/>
        <v>43.849452480000004</v>
      </c>
    </row>
    <row r="76" spans="2:6" x14ac:dyDescent="0.25">
      <c r="B76" s="8"/>
      <c r="C76" s="9">
        <v>2031</v>
      </c>
      <c r="D76" s="23">
        <v>636</v>
      </c>
      <c r="E76" s="23">
        <f t="shared" si="5"/>
        <v>13.847195520000001</v>
      </c>
      <c r="F76" s="24">
        <f t="shared" si="4"/>
        <v>57.696648000000003</v>
      </c>
    </row>
    <row r="77" spans="2:6" x14ac:dyDescent="0.25">
      <c r="B77" s="8"/>
      <c r="C77" s="9">
        <v>2032</v>
      </c>
      <c r="D77" s="23">
        <v>636</v>
      </c>
      <c r="E77" s="23">
        <f t="shared" si="5"/>
        <v>13.847195520000001</v>
      </c>
      <c r="F77" s="24">
        <f t="shared" si="4"/>
        <v>71.54384352000001</v>
      </c>
    </row>
    <row r="78" spans="2:6" x14ac:dyDescent="0.25">
      <c r="B78" s="8"/>
      <c r="C78" s="9">
        <v>2033</v>
      </c>
      <c r="D78" s="23">
        <v>636</v>
      </c>
      <c r="E78" s="23">
        <f t="shared" si="5"/>
        <v>13.847195520000001</v>
      </c>
      <c r="F78" s="24">
        <f t="shared" si="4"/>
        <v>85.39103904000001</v>
      </c>
    </row>
    <row r="79" spans="2:6" x14ac:dyDescent="0.25">
      <c r="B79" s="8"/>
      <c r="C79" s="9">
        <v>2034</v>
      </c>
      <c r="D79" s="23">
        <v>636</v>
      </c>
      <c r="E79" s="23">
        <f t="shared" si="5"/>
        <v>13.847195520000001</v>
      </c>
      <c r="F79" s="24">
        <f t="shared" si="4"/>
        <v>99.238234560000009</v>
      </c>
    </row>
    <row r="80" spans="2:6" x14ac:dyDescent="0.25">
      <c r="B80" s="8"/>
      <c r="C80" s="9">
        <v>2035</v>
      </c>
      <c r="D80" s="23">
        <v>636</v>
      </c>
      <c r="E80" s="23">
        <f t="shared" si="5"/>
        <v>13.847195520000001</v>
      </c>
      <c r="F80" s="24">
        <f t="shared" si="4"/>
        <v>113.08543008000001</v>
      </c>
    </row>
    <row r="81" spans="2:6" x14ac:dyDescent="0.25">
      <c r="B81" s="8"/>
      <c r="C81" s="9">
        <v>2036</v>
      </c>
      <c r="D81" s="23">
        <v>636</v>
      </c>
      <c r="E81" s="23">
        <f t="shared" si="5"/>
        <v>13.847195520000001</v>
      </c>
      <c r="F81" s="24">
        <f t="shared" si="4"/>
        <v>126.93262560000001</v>
      </c>
    </row>
    <row r="82" spans="2:6" x14ac:dyDescent="0.25">
      <c r="B82" s="8"/>
      <c r="C82" s="9">
        <v>2037</v>
      </c>
      <c r="D82" s="23">
        <v>636</v>
      </c>
      <c r="E82" s="23">
        <f t="shared" si="5"/>
        <v>13.847195520000001</v>
      </c>
      <c r="F82" s="24">
        <f t="shared" si="4"/>
        <v>140.77982112000001</v>
      </c>
    </row>
    <row r="83" spans="2:6" x14ac:dyDescent="0.25">
      <c r="B83" s="8"/>
      <c r="C83" s="9">
        <v>2038</v>
      </c>
      <c r="D83" s="23">
        <v>636</v>
      </c>
      <c r="E83" s="23">
        <f t="shared" si="5"/>
        <v>13.847195520000001</v>
      </c>
      <c r="F83" s="24">
        <f t="shared" si="4"/>
        <v>154.62701664000002</v>
      </c>
    </row>
    <row r="84" spans="2:6" x14ac:dyDescent="0.25">
      <c r="B84" s="8"/>
      <c r="C84" s="9">
        <v>2039</v>
      </c>
      <c r="D84" s="23">
        <v>636</v>
      </c>
      <c r="E84" s="23">
        <f t="shared" si="5"/>
        <v>13.847195520000001</v>
      </c>
      <c r="F84" s="24">
        <f t="shared" si="4"/>
        <v>168.47421216000004</v>
      </c>
    </row>
    <row r="85" spans="2:6" x14ac:dyDescent="0.25">
      <c r="B85" s="8"/>
      <c r="C85" s="9">
        <v>2040</v>
      </c>
      <c r="D85" s="23">
        <v>636</v>
      </c>
      <c r="E85" s="23">
        <f t="shared" si="5"/>
        <v>13.847195520000001</v>
      </c>
      <c r="F85" s="24">
        <f t="shared" si="4"/>
        <v>182.32140768000005</v>
      </c>
    </row>
    <row r="86" spans="2:6" x14ac:dyDescent="0.25">
      <c r="B86" s="8"/>
      <c r="C86" s="9">
        <v>2041</v>
      </c>
      <c r="D86" s="23">
        <v>636</v>
      </c>
      <c r="E86" s="23">
        <f t="shared" si="5"/>
        <v>13.847195520000001</v>
      </c>
      <c r="F86" s="24">
        <f t="shared" si="4"/>
        <v>196.16860320000006</v>
      </c>
    </row>
    <row r="87" spans="2:6" x14ac:dyDescent="0.25">
      <c r="B87" s="8"/>
      <c r="C87" s="9">
        <v>2042</v>
      </c>
      <c r="D87" s="23">
        <v>636</v>
      </c>
      <c r="E87" s="23">
        <f t="shared" si="5"/>
        <v>13.847195520000001</v>
      </c>
      <c r="F87" s="24">
        <f t="shared" si="4"/>
        <v>210.01579872000008</v>
      </c>
    </row>
    <row r="88" spans="2:6" x14ac:dyDescent="0.25">
      <c r="B88" s="8"/>
      <c r="C88" s="9">
        <v>2043</v>
      </c>
      <c r="D88" s="23">
        <v>636</v>
      </c>
      <c r="E88" s="23">
        <f t="shared" si="5"/>
        <v>13.847195520000001</v>
      </c>
      <c r="F88" s="24">
        <f t="shared" si="4"/>
        <v>223.86299424000009</v>
      </c>
    </row>
    <row r="89" spans="2:6" x14ac:dyDescent="0.25">
      <c r="B89" s="8"/>
      <c r="C89" s="9">
        <v>2044</v>
      </c>
      <c r="D89" s="23">
        <v>636</v>
      </c>
      <c r="E89" s="23">
        <f t="shared" si="5"/>
        <v>13.847195520000001</v>
      </c>
      <c r="F89" s="24">
        <f t="shared" si="4"/>
        <v>237.71018976000011</v>
      </c>
    </row>
    <row r="90" spans="2:6" x14ac:dyDescent="0.25">
      <c r="B90" s="8"/>
      <c r="C90" s="9">
        <v>2045</v>
      </c>
      <c r="D90" s="23">
        <v>636</v>
      </c>
      <c r="E90" s="23">
        <f t="shared" si="5"/>
        <v>13.847195520000001</v>
      </c>
      <c r="F90" s="24">
        <f t="shared" si="4"/>
        <v>251.55738528000012</v>
      </c>
    </row>
    <row r="91" spans="2:6" x14ac:dyDescent="0.25">
      <c r="B91" s="8"/>
      <c r="C91" s="9">
        <v>2046</v>
      </c>
      <c r="D91" s="23">
        <v>636</v>
      </c>
      <c r="E91" s="23">
        <f t="shared" si="5"/>
        <v>13.847195520000001</v>
      </c>
      <c r="F91" s="24">
        <f t="shared" si="4"/>
        <v>265.40458080000013</v>
      </c>
    </row>
    <row r="92" spans="2:6" x14ac:dyDescent="0.25">
      <c r="B92" s="8"/>
      <c r="C92" s="9">
        <v>2047</v>
      </c>
      <c r="D92" s="23">
        <v>636</v>
      </c>
      <c r="E92" s="23">
        <f t="shared" si="5"/>
        <v>13.847195520000001</v>
      </c>
      <c r="F92" s="24">
        <f t="shared" si="4"/>
        <v>279.25177632000015</v>
      </c>
    </row>
    <row r="93" spans="2:6" x14ac:dyDescent="0.25">
      <c r="B93" s="8"/>
      <c r="C93" s="9">
        <v>2048</v>
      </c>
      <c r="D93" s="23">
        <v>636</v>
      </c>
      <c r="E93" s="23">
        <f t="shared" si="5"/>
        <v>13.847195520000001</v>
      </c>
      <c r="F93" s="24">
        <f t="shared" si="4"/>
        <v>293.09897184000016</v>
      </c>
    </row>
    <row r="94" spans="2:6" x14ac:dyDescent="0.25">
      <c r="B94" s="8"/>
      <c r="C94" s="9">
        <v>2049</v>
      </c>
      <c r="D94" s="23">
        <v>636</v>
      </c>
      <c r="E94" s="23">
        <f t="shared" si="5"/>
        <v>13.847195520000001</v>
      </c>
      <c r="F94" s="24">
        <f t="shared" si="4"/>
        <v>306.94616736000017</v>
      </c>
    </row>
    <row r="95" spans="2:6" x14ac:dyDescent="0.25">
      <c r="B95" s="16"/>
      <c r="C95" s="2">
        <v>2050</v>
      </c>
      <c r="D95" s="4">
        <v>636</v>
      </c>
      <c r="E95" s="4">
        <f t="shared" si="5"/>
        <v>13.847195520000001</v>
      </c>
      <c r="F95" s="26">
        <f t="shared" si="4"/>
        <v>320.79336288000019</v>
      </c>
    </row>
    <row r="96" spans="2:6" ht="15.75" thickBot="1" x14ac:dyDescent="0.3">
      <c r="B96" s="12"/>
      <c r="C96" s="13" t="s">
        <v>10</v>
      </c>
      <c r="D96" s="27"/>
      <c r="E96" s="28">
        <f>SUM(E71:E95)</f>
        <v>320.79336288000019</v>
      </c>
      <c r="F96" s="15"/>
    </row>
  </sheetData>
  <pageMargins left="0.7" right="0.7" top="0.75" bottom="0.75" header="0.3" footer="0.3"/>
  <pageSetup scale="79" fitToHeight="3" orientation="portrait" verticalDpi="1200" r:id="rId1"/>
  <rowBreaks count="2" manualBreakCount="2">
    <brk id="32" max="6" man="1"/>
    <brk id="65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57E91-1464-4096-A9A5-274DAD9CD38D}">
  <sheetPr>
    <pageSetUpPr fitToPage="1"/>
  </sheetPr>
  <dimension ref="B2:L30"/>
  <sheetViews>
    <sheetView workbookViewId="0">
      <selection activeCell="D16" sqref="D16"/>
    </sheetView>
  </sheetViews>
  <sheetFormatPr defaultColWidth="8.7109375" defaultRowHeight="15" x14ac:dyDescent="0.25"/>
  <cols>
    <col min="1" max="1" width="8.7109375" style="1"/>
    <col min="2" max="2" width="27.85546875" style="1" customWidth="1"/>
    <col min="3" max="3" width="20.140625" style="1" customWidth="1"/>
    <col min="4" max="4" width="30.140625" style="1" customWidth="1"/>
    <col min="5" max="5" width="15.7109375" style="1" customWidth="1"/>
    <col min="6" max="6" width="8.7109375" style="1"/>
    <col min="7" max="7" width="15.140625" style="1" customWidth="1"/>
    <col min="8" max="8" width="16.42578125" style="1" customWidth="1"/>
    <col min="9" max="16384" width="8.7109375" style="1"/>
  </cols>
  <sheetData>
    <row r="2" spans="2:12" ht="15.75" thickBot="1" x14ac:dyDescent="0.3"/>
    <row r="3" spans="2:12" ht="15.75" thickBot="1" x14ac:dyDescent="0.3">
      <c r="B3" s="40" t="s">
        <v>91</v>
      </c>
    </row>
    <row r="4" spans="2:12" x14ac:dyDescent="0.25">
      <c r="B4" s="41" t="s">
        <v>81</v>
      </c>
      <c r="C4" s="42" t="s">
        <v>82</v>
      </c>
      <c r="D4" s="42" t="s">
        <v>83</v>
      </c>
      <c r="E4" s="42" t="s">
        <v>85</v>
      </c>
      <c r="F4" s="42" t="s">
        <v>84</v>
      </c>
      <c r="G4" s="42" t="s">
        <v>86</v>
      </c>
      <c r="H4" s="42" t="s">
        <v>88</v>
      </c>
      <c r="I4" s="42" t="s">
        <v>87</v>
      </c>
      <c r="J4" s="42"/>
      <c r="K4" s="42" t="s">
        <v>89</v>
      </c>
      <c r="L4" s="43"/>
    </row>
    <row r="5" spans="2:12" x14ac:dyDescent="0.25">
      <c r="B5" s="44" t="s">
        <v>57</v>
      </c>
      <c r="C5" s="45" t="s">
        <v>23</v>
      </c>
      <c r="D5" s="45" t="s">
        <v>58</v>
      </c>
      <c r="E5" s="45" t="s">
        <v>59</v>
      </c>
      <c r="F5" s="45" t="s">
        <v>60</v>
      </c>
      <c r="G5" s="45">
        <v>20</v>
      </c>
      <c r="H5" s="45" t="s">
        <v>61</v>
      </c>
      <c r="I5" s="45" t="s">
        <v>62</v>
      </c>
      <c r="J5" s="45"/>
      <c r="K5" s="9">
        <f>G5/10.37/1000</f>
        <v>1.9286403085824494E-3</v>
      </c>
      <c r="L5" s="10"/>
    </row>
    <row r="6" spans="2:12" x14ac:dyDescent="0.25">
      <c r="B6" s="44" t="s">
        <v>57</v>
      </c>
      <c r="C6" s="45" t="s">
        <v>23</v>
      </c>
      <c r="D6" s="45" t="s">
        <v>63</v>
      </c>
      <c r="E6" s="45" t="s">
        <v>64</v>
      </c>
      <c r="F6" s="45" t="s">
        <v>60</v>
      </c>
      <c r="G6" s="45">
        <v>40</v>
      </c>
      <c r="H6" s="45" t="s">
        <v>61</v>
      </c>
      <c r="I6" s="45" t="s">
        <v>62</v>
      </c>
      <c r="J6" s="45"/>
      <c r="K6" s="9">
        <f t="shared" ref="K6:K14" si="0">G6/10.37/1000</f>
        <v>3.8572806171648989E-3</v>
      </c>
      <c r="L6" s="10"/>
    </row>
    <row r="7" spans="2:12" x14ac:dyDescent="0.25">
      <c r="B7" s="44" t="s">
        <v>57</v>
      </c>
      <c r="C7" s="45" t="s">
        <v>23</v>
      </c>
      <c r="D7" s="45" t="s">
        <v>65</v>
      </c>
      <c r="E7" s="45" t="s">
        <v>66</v>
      </c>
      <c r="F7" s="45" t="s">
        <v>60</v>
      </c>
      <c r="G7" s="45">
        <v>94</v>
      </c>
      <c r="H7" s="45" t="s">
        <v>61</v>
      </c>
      <c r="I7" s="45" t="s">
        <v>62</v>
      </c>
      <c r="J7" s="45"/>
      <c r="K7" s="9">
        <f t="shared" si="0"/>
        <v>9.0646094503375116E-3</v>
      </c>
      <c r="L7" s="10"/>
    </row>
    <row r="8" spans="2:12" x14ac:dyDescent="0.25">
      <c r="B8" s="44" t="s">
        <v>57</v>
      </c>
      <c r="C8" s="45" t="s">
        <v>23</v>
      </c>
      <c r="D8" s="45" t="s">
        <v>67</v>
      </c>
      <c r="E8" s="45" t="s">
        <v>68</v>
      </c>
      <c r="F8" s="45" t="s">
        <v>60</v>
      </c>
      <c r="G8" s="45">
        <v>0.32</v>
      </c>
      <c r="H8" s="45" t="s">
        <v>61</v>
      </c>
      <c r="I8" s="45" t="s">
        <v>62</v>
      </c>
      <c r="J8" s="45"/>
      <c r="K8" s="9">
        <f t="shared" si="0"/>
        <v>3.0858244937319194E-5</v>
      </c>
      <c r="L8" s="10"/>
    </row>
    <row r="9" spans="2:12" x14ac:dyDescent="0.25">
      <c r="B9" s="44" t="s">
        <v>57</v>
      </c>
      <c r="C9" s="45" t="s">
        <v>23</v>
      </c>
      <c r="D9" s="45" t="s">
        <v>69</v>
      </c>
      <c r="E9" s="45" t="s">
        <v>70</v>
      </c>
      <c r="F9" s="45" t="s">
        <v>60</v>
      </c>
      <c r="G9" s="45">
        <v>0.2</v>
      </c>
      <c r="H9" s="45" t="s">
        <v>61</v>
      </c>
      <c r="I9" s="45" t="s">
        <v>62</v>
      </c>
      <c r="J9" s="45"/>
      <c r="K9" s="9">
        <f t="shared" si="0"/>
        <v>1.9286403085824496E-5</v>
      </c>
      <c r="L9" s="10"/>
    </row>
    <row r="10" spans="2:12" x14ac:dyDescent="0.25">
      <c r="B10" s="44" t="s">
        <v>57</v>
      </c>
      <c r="C10" s="45" t="s">
        <v>23</v>
      </c>
      <c r="D10" s="45" t="s">
        <v>71</v>
      </c>
      <c r="E10" s="45" t="s">
        <v>72</v>
      </c>
      <c r="F10" s="45" t="s">
        <v>60</v>
      </c>
      <c r="G10" s="45">
        <v>0.52</v>
      </c>
      <c r="H10" s="45" t="s">
        <v>61</v>
      </c>
      <c r="I10" s="45" t="s">
        <v>62</v>
      </c>
      <c r="J10" s="45"/>
      <c r="K10" s="9">
        <f t="shared" si="0"/>
        <v>5.014464802314369E-5</v>
      </c>
      <c r="L10" s="10"/>
    </row>
    <row r="11" spans="2:12" x14ac:dyDescent="0.25">
      <c r="B11" s="44" t="s">
        <v>57</v>
      </c>
      <c r="C11" s="45" t="s">
        <v>23</v>
      </c>
      <c r="D11" s="45" t="s">
        <v>73</v>
      </c>
      <c r="E11" s="45" t="s">
        <v>74</v>
      </c>
      <c r="F11" s="45" t="s">
        <v>60</v>
      </c>
      <c r="G11" s="45">
        <v>0.11</v>
      </c>
      <c r="H11" s="45" t="s">
        <v>61</v>
      </c>
      <c r="I11" s="45" t="s">
        <v>62</v>
      </c>
      <c r="J11" s="45"/>
      <c r="K11" s="9">
        <f t="shared" si="0"/>
        <v>1.0607521697203472E-5</v>
      </c>
      <c r="L11" s="10"/>
    </row>
    <row r="12" spans="2:12" x14ac:dyDescent="0.25">
      <c r="B12" s="44" t="s">
        <v>57</v>
      </c>
      <c r="C12" s="45" t="s">
        <v>23</v>
      </c>
      <c r="D12" s="45" t="s">
        <v>75</v>
      </c>
      <c r="E12" s="45" t="s">
        <v>76</v>
      </c>
      <c r="F12" s="45" t="s">
        <v>60</v>
      </c>
      <c r="G12" s="45">
        <v>0.43</v>
      </c>
      <c r="H12" s="45" t="s">
        <v>61</v>
      </c>
      <c r="I12" s="45" t="s">
        <v>62</v>
      </c>
      <c r="J12" s="45"/>
      <c r="K12" s="9">
        <f t="shared" si="0"/>
        <v>4.1465766634522666E-5</v>
      </c>
      <c r="L12" s="10"/>
    </row>
    <row r="13" spans="2:12" x14ac:dyDescent="0.25">
      <c r="B13" s="44" t="s">
        <v>57</v>
      </c>
      <c r="C13" s="45" t="s">
        <v>23</v>
      </c>
      <c r="D13" s="45" t="s">
        <v>77</v>
      </c>
      <c r="E13" s="45" t="s">
        <v>78</v>
      </c>
      <c r="F13" s="45" t="s">
        <v>60</v>
      </c>
      <c r="G13" s="45">
        <v>0.6</v>
      </c>
      <c r="H13" s="45" t="s">
        <v>61</v>
      </c>
      <c r="I13" s="45" t="s">
        <v>62</v>
      </c>
      <c r="J13" s="45"/>
      <c r="K13" s="9">
        <f t="shared" si="0"/>
        <v>5.785920925747348E-5</v>
      </c>
      <c r="L13" s="10"/>
    </row>
    <row r="14" spans="2:12" ht="15.75" thickBot="1" x14ac:dyDescent="0.3">
      <c r="B14" s="46" t="s">
        <v>57</v>
      </c>
      <c r="C14" s="47" t="s">
        <v>23</v>
      </c>
      <c r="D14" s="47" t="s">
        <v>79</v>
      </c>
      <c r="E14" s="47" t="s">
        <v>80</v>
      </c>
      <c r="F14" s="47" t="s">
        <v>60</v>
      </c>
      <c r="G14" s="47">
        <v>5.5</v>
      </c>
      <c r="H14" s="47" t="s">
        <v>61</v>
      </c>
      <c r="I14" s="47" t="s">
        <v>62</v>
      </c>
      <c r="J14" s="47"/>
      <c r="K14" s="13">
        <f t="shared" si="0"/>
        <v>5.3037608486017362E-4</v>
      </c>
      <c r="L14" s="15"/>
    </row>
    <row r="18" spans="2:3" ht="15.75" thickBot="1" x14ac:dyDescent="0.3"/>
    <row r="19" spans="2:3" ht="15.75" thickBot="1" x14ac:dyDescent="0.3">
      <c r="B19" s="40" t="s">
        <v>92</v>
      </c>
    </row>
    <row r="20" spans="2:3" x14ac:dyDescent="0.25">
      <c r="B20" s="41" t="s">
        <v>83</v>
      </c>
      <c r="C20" s="43" t="s">
        <v>90</v>
      </c>
    </row>
    <row r="21" spans="2:3" x14ac:dyDescent="0.25">
      <c r="B21" s="44" t="s">
        <v>58</v>
      </c>
      <c r="C21" s="33">
        <f>('GHG Reduction (Buildings)'!$K$32+'GHG Reduction (Buildings)'!$G$32+'GHG Reduction (Buildings)'!$K$64+'GHG Reduction (Buildings)'!$G$96)*'Co-Pollutant Estimates'!K5</f>
        <v>3507.3514368370297</v>
      </c>
    </row>
    <row r="22" spans="2:3" x14ac:dyDescent="0.25">
      <c r="B22" s="44" t="s">
        <v>63</v>
      </c>
      <c r="C22" s="33">
        <f>('GHG Reduction (Buildings)'!$K$32+'GHG Reduction (Buildings)'!$G$32+'GHG Reduction (Buildings)'!$K$64+'GHG Reduction (Buildings)'!$G$96)*'Co-Pollutant Estimates'!K6</f>
        <v>7014.7028736740594</v>
      </c>
    </row>
    <row r="23" spans="2:3" x14ac:dyDescent="0.25">
      <c r="B23" s="44" t="s">
        <v>65</v>
      </c>
      <c r="C23" s="33">
        <f>('GHG Reduction (Buildings)'!$K$32+'GHG Reduction (Buildings)'!$G$32+'GHG Reduction (Buildings)'!$K$64+'GHG Reduction (Buildings)'!$G$96)*'Co-Pollutant Estimates'!K7</f>
        <v>16484.551753134037</v>
      </c>
    </row>
    <row r="24" spans="2:3" x14ac:dyDescent="0.25">
      <c r="B24" s="44" t="s">
        <v>67</v>
      </c>
      <c r="C24" s="33">
        <f>('GHG Reduction (Buildings)'!$K$32+'GHG Reduction (Buildings)'!$G$32+'GHG Reduction (Buildings)'!$K$64+'GHG Reduction (Buildings)'!$G$96)*'Co-Pollutant Estimates'!K8</f>
        <v>56.11762298939248</v>
      </c>
    </row>
    <row r="25" spans="2:3" x14ac:dyDescent="0.25">
      <c r="B25" s="44" t="s">
        <v>69</v>
      </c>
      <c r="C25" s="33">
        <f>('GHG Reduction (Buildings)'!$K$32+'GHG Reduction (Buildings)'!$G$32+'GHG Reduction (Buildings)'!$K$64+'GHG Reduction (Buildings)'!$G$96)*'Co-Pollutant Estimates'!K9</f>
        <v>35.073514368370297</v>
      </c>
    </row>
    <row r="26" spans="2:3" x14ac:dyDescent="0.25">
      <c r="B26" s="44" t="s">
        <v>71</v>
      </c>
      <c r="C26" s="33">
        <f>('GHG Reduction (Buildings)'!$K$32+'GHG Reduction (Buildings)'!$G$32+'GHG Reduction (Buildings)'!$K$64+'GHG Reduction (Buildings)'!$G$96)*'Co-Pollutant Estimates'!K10</f>
        <v>91.19113735776277</v>
      </c>
    </row>
    <row r="27" spans="2:3" x14ac:dyDescent="0.25">
      <c r="B27" s="44" t="s">
        <v>73</v>
      </c>
      <c r="C27" s="33">
        <f>('GHG Reduction (Buildings)'!$K$32+'GHG Reduction (Buildings)'!$G$32+'GHG Reduction (Buildings)'!$K$64+'GHG Reduction (Buildings)'!$G$96)*'Co-Pollutant Estimates'!K11</f>
        <v>19.290432902603662</v>
      </c>
    </row>
    <row r="28" spans="2:3" x14ac:dyDescent="0.25">
      <c r="B28" s="44" t="s">
        <v>75</v>
      </c>
      <c r="C28" s="33">
        <f>('GHG Reduction (Buildings)'!$K$32+'GHG Reduction (Buildings)'!$G$32+'GHG Reduction (Buildings)'!$K$64+'GHG Reduction (Buildings)'!$G$96)*'Co-Pollutant Estimates'!K12</f>
        <v>75.408055891996142</v>
      </c>
    </row>
    <row r="29" spans="2:3" x14ac:dyDescent="0.25">
      <c r="B29" s="44" t="s">
        <v>77</v>
      </c>
      <c r="C29" s="33">
        <f>('GHG Reduction (Buildings)'!$K$32+'GHG Reduction (Buildings)'!$G$32+'GHG Reduction (Buildings)'!$K$64+'GHG Reduction (Buildings)'!$G$96)*'Co-Pollutant Estimates'!K13</f>
        <v>105.22054310511088</v>
      </c>
    </row>
    <row r="30" spans="2:3" ht="15.75" thickBot="1" x14ac:dyDescent="0.3">
      <c r="B30" s="46" t="s">
        <v>79</v>
      </c>
      <c r="C30" s="34">
        <f>('GHG Reduction (Buildings)'!$K$32+'GHG Reduction (Buildings)'!$G$32+'GHG Reduction (Buildings)'!$K$64+'GHG Reduction (Buildings)'!$G$96)*'Co-Pollutant Estimates'!K14</f>
        <v>964.52164513018317</v>
      </c>
    </row>
  </sheetData>
  <pageMargins left="0.7" right="0.7" top="0.75" bottom="0.75" header="0.3" footer="0.3"/>
  <pageSetup scale="69" fitToHeight="0" orientation="landscape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D647C-4704-4DC7-82E7-C0107816E141}">
  <sheetPr>
    <pageSetUpPr fitToPage="1"/>
  </sheetPr>
  <dimension ref="B2:O56"/>
  <sheetViews>
    <sheetView tabSelected="1" workbookViewId="0">
      <selection sqref="A1:P57"/>
    </sheetView>
  </sheetViews>
  <sheetFormatPr defaultColWidth="8.7109375" defaultRowHeight="15" x14ac:dyDescent="0.25"/>
  <cols>
    <col min="1" max="1" width="8.7109375" style="1"/>
    <col min="2" max="2" width="24.85546875" style="1" customWidth="1"/>
    <col min="3" max="3" width="28.5703125" style="1" customWidth="1"/>
    <col min="4" max="4" width="19.5703125" style="1" customWidth="1"/>
    <col min="5" max="5" width="30.28515625" style="1" customWidth="1"/>
    <col min="6" max="6" width="3" style="1" customWidth="1"/>
    <col min="7" max="7" width="24.140625" style="1" customWidth="1"/>
    <col min="8" max="8" width="21.85546875" style="1" bestFit="1" customWidth="1"/>
    <col min="9" max="9" width="12.28515625" style="1" customWidth="1"/>
    <col min="10" max="10" width="20.42578125" style="1" bestFit="1" customWidth="1"/>
    <col min="11" max="11" width="13.42578125" style="1" customWidth="1"/>
    <col min="12" max="12" width="16.85546875" style="1" customWidth="1"/>
    <col min="13" max="13" width="16" style="1" customWidth="1"/>
    <col min="14" max="14" width="15.42578125" style="1" customWidth="1"/>
    <col min="15" max="16384" width="8.7109375" style="1"/>
  </cols>
  <sheetData>
    <row r="2" spans="2:11" ht="15.75" thickBot="1" x14ac:dyDescent="0.3"/>
    <row r="3" spans="2:11" ht="15.75" thickBot="1" x14ac:dyDescent="0.3">
      <c r="B3" s="49" t="s">
        <v>119</v>
      </c>
      <c r="C3" s="50"/>
    </row>
    <row r="4" spans="2:11" ht="15.75" thickBot="1" x14ac:dyDescent="0.3"/>
    <row r="5" spans="2:11" x14ac:dyDescent="0.25">
      <c r="B5" s="5" t="s">
        <v>102</v>
      </c>
      <c r="C5" s="7" t="s">
        <v>103</v>
      </c>
      <c r="G5" s="41" t="s">
        <v>112</v>
      </c>
      <c r="H5" s="42" t="s">
        <v>109</v>
      </c>
      <c r="I5" s="42" t="s">
        <v>111</v>
      </c>
      <c r="J5" s="42" t="s">
        <v>110</v>
      </c>
      <c r="K5" s="43" t="s">
        <v>111</v>
      </c>
    </row>
    <row r="6" spans="2:11" x14ac:dyDescent="0.25">
      <c r="B6" s="8" t="s">
        <v>104</v>
      </c>
      <c r="C6" s="10" t="s">
        <v>105</v>
      </c>
      <c r="G6" s="8" t="s">
        <v>8</v>
      </c>
      <c r="H6" s="9">
        <v>264</v>
      </c>
      <c r="I6" s="55">
        <f>219/H6</f>
        <v>0.82954545454545459</v>
      </c>
      <c r="J6" s="9">
        <v>180</v>
      </c>
      <c r="K6" s="56">
        <f>70/J6</f>
        <v>0.3888888888888889</v>
      </c>
    </row>
    <row r="7" spans="2:11" ht="15.75" thickBot="1" x14ac:dyDescent="0.3">
      <c r="B7" s="12" t="s">
        <v>106</v>
      </c>
      <c r="C7" s="15" t="s">
        <v>107</v>
      </c>
      <c r="G7" s="8" t="s">
        <v>11</v>
      </c>
      <c r="H7" s="9">
        <v>145</v>
      </c>
      <c r="I7" s="55">
        <f>98/H7</f>
        <v>0.67586206896551726</v>
      </c>
      <c r="J7" s="9">
        <v>0</v>
      </c>
      <c r="K7" s="56">
        <v>0</v>
      </c>
    </row>
    <row r="8" spans="2:11" ht="15.75" thickBot="1" x14ac:dyDescent="0.3">
      <c r="G8" s="12" t="s">
        <v>12</v>
      </c>
      <c r="H8" s="13">
        <v>0</v>
      </c>
      <c r="I8" s="57">
        <v>0</v>
      </c>
      <c r="J8" s="13">
        <v>318</v>
      </c>
      <c r="K8" s="58">
        <f>181/J8</f>
        <v>0.5691823899371069</v>
      </c>
    </row>
    <row r="9" spans="2:11" ht="15.75" thickBot="1" x14ac:dyDescent="0.3"/>
    <row r="10" spans="2:11" ht="15.75" thickBot="1" x14ac:dyDescent="0.3">
      <c r="B10" s="49" t="s">
        <v>120</v>
      </c>
      <c r="C10" s="50"/>
    </row>
    <row r="12" spans="2:11" ht="15.75" thickBot="1" x14ac:dyDescent="0.3"/>
    <row r="13" spans="2:11" x14ac:dyDescent="0.25">
      <c r="B13" s="5" t="s">
        <v>94</v>
      </c>
      <c r="C13" s="7"/>
    </row>
    <row r="14" spans="2:11" x14ac:dyDescent="0.25">
      <c r="B14" s="8" t="s">
        <v>8</v>
      </c>
      <c r="C14" s="10" t="s">
        <v>95</v>
      </c>
    </row>
    <row r="15" spans="2:11" x14ac:dyDescent="0.25">
      <c r="B15" s="8" t="s">
        <v>93</v>
      </c>
      <c r="C15" s="10" t="s">
        <v>96</v>
      </c>
    </row>
    <row r="16" spans="2:11" ht="15.75" thickBot="1" x14ac:dyDescent="0.3">
      <c r="B16" s="8" t="s">
        <v>12</v>
      </c>
      <c r="C16" s="10" t="s">
        <v>96</v>
      </c>
    </row>
    <row r="17" spans="2:15" x14ac:dyDescent="0.25">
      <c r="B17" s="8" t="s">
        <v>123</v>
      </c>
      <c r="C17" s="10" t="s">
        <v>124</v>
      </c>
      <c r="G17" s="54" t="s">
        <v>99</v>
      </c>
      <c r="H17" s="6"/>
      <c r="I17" s="6"/>
      <c r="J17" s="6"/>
      <c r="K17" s="6"/>
      <c r="L17" s="6"/>
      <c r="M17" s="6"/>
      <c r="N17" s="6"/>
      <c r="O17" s="7"/>
    </row>
    <row r="18" spans="2:15" ht="15.75" thickBot="1" x14ac:dyDescent="0.3">
      <c r="B18" s="12" t="s">
        <v>98</v>
      </c>
      <c r="C18" s="15"/>
      <c r="G18" s="8"/>
      <c r="H18" s="9"/>
      <c r="I18" s="9"/>
      <c r="J18" s="32" t="s">
        <v>13</v>
      </c>
      <c r="K18" s="32" t="s">
        <v>14</v>
      </c>
      <c r="L18" s="32" t="s">
        <v>15</v>
      </c>
      <c r="M18" s="32" t="s">
        <v>16</v>
      </c>
      <c r="N18" s="32" t="s">
        <v>17</v>
      </c>
      <c r="O18" s="10"/>
    </row>
    <row r="19" spans="2:15" ht="15.75" thickBot="1" x14ac:dyDescent="0.3">
      <c r="G19" s="8" t="s">
        <v>18</v>
      </c>
      <c r="H19" s="9">
        <v>7124.9155618748573</v>
      </c>
      <c r="I19" s="9" t="s">
        <v>21</v>
      </c>
      <c r="J19" s="9">
        <v>1601.4718464764587</v>
      </c>
      <c r="K19" s="9">
        <v>1438.0563519380446</v>
      </c>
      <c r="L19" s="9">
        <v>163.41549453841418</v>
      </c>
      <c r="M19" s="9">
        <v>1372.6901541226789</v>
      </c>
      <c r="N19" s="9">
        <v>4150.7535612757201</v>
      </c>
      <c r="O19" s="10" t="s">
        <v>21</v>
      </c>
    </row>
    <row r="20" spans="2:15" x14ac:dyDescent="0.25">
      <c r="B20" s="5" t="s">
        <v>97</v>
      </c>
      <c r="C20" s="6"/>
      <c r="D20" s="6"/>
      <c r="E20" s="7"/>
      <c r="G20" s="8" t="s">
        <v>20</v>
      </c>
      <c r="H20" s="9">
        <v>258.78384967256011</v>
      </c>
      <c r="I20" s="9" t="s">
        <v>21</v>
      </c>
      <c r="J20" s="9">
        <v>129.39192483628005</v>
      </c>
      <c r="K20" s="9">
        <v>129.39192483628005</v>
      </c>
      <c r="L20" s="9"/>
      <c r="M20" s="9">
        <v>108.12201938374086</v>
      </c>
      <c r="N20" s="9">
        <v>21.269905452539206</v>
      </c>
      <c r="O20" s="10" t="s">
        <v>21</v>
      </c>
    </row>
    <row r="21" spans="2:15" ht="15.75" thickBot="1" x14ac:dyDescent="0.3">
      <c r="B21" s="8" t="s">
        <v>22</v>
      </c>
      <c r="C21" s="9"/>
      <c r="D21" s="9" t="s">
        <v>23</v>
      </c>
      <c r="E21" s="10"/>
      <c r="G21" s="12" t="s">
        <v>98</v>
      </c>
      <c r="H21" s="13"/>
      <c r="I21" s="13"/>
      <c r="J21" s="13"/>
      <c r="K21" s="13"/>
      <c r="L21" s="13"/>
      <c r="M21" s="13"/>
      <c r="N21" s="13"/>
      <c r="O21" s="15"/>
    </row>
    <row r="22" spans="2:15" ht="15.75" thickBot="1" x14ac:dyDescent="0.3">
      <c r="B22" s="8" t="s">
        <v>24</v>
      </c>
      <c r="C22" s="9" t="s">
        <v>25</v>
      </c>
      <c r="D22" s="9" t="s">
        <v>24</v>
      </c>
      <c r="E22" s="10" t="s">
        <v>26</v>
      </c>
    </row>
    <row r="23" spans="2:15" x14ac:dyDescent="0.25">
      <c r="B23" s="8" t="s">
        <v>27</v>
      </c>
      <c r="C23" s="51">
        <v>8.2568807339449546E-2</v>
      </c>
      <c r="D23" s="9" t="s">
        <v>28</v>
      </c>
      <c r="E23" s="52">
        <v>0.4178082191780822</v>
      </c>
      <c r="F23" s="48"/>
      <c r="G23" s="54" t="s">
        <v>100</v>
      </c>
      <c r="H23" s="6"/>
      <c r="I23" s="6"/>
      <c r="J23" s="6"/>
      <c r="K23" s="6"/>
      <c r="L23" s="6"/>
      <c r="M23" s="6"/>
      <c r="N23" s="6"/>
      <c r="O23" s="7"/>
    </row>
    <row r="24" spans="2:15" x14ac:dyDescent="0.25">
      <c r="B24" s="8" t="s">
        <v>28</v>
      </c>
      <c r="C24" s="51">
        <v>0.19266055045871561</v>
      </c>
      <c r="D24" s="9" t="s">
        <v>29</v>
      </c>
      <c r="E24" s="52">
        <v>8.2191780821917804E-2</v>
      </c>
      <c r="F24" s="48"/>
      <c r="G24" s="8"/>
      <c r="H24" s="9"/>
      <c r="I24" s="9"/>
      <c r="J24" s="32" t="s">
        <v>13</v>
      </c>
      <c r="K24" s="32" t="s">
        <v>14</v>
      </c>
      <c r="L24" s="32" t="s">
        <v>15</v>
      </c>
      <c r="M24" s="32" t="s">
        <v>16</v>
      </c>
      <c r="N24" s="32" t="s">
        <v>17</v>
      </c>
      <c r="O24" s="10"/>
    </row>
    <row r="25" spans="2:15" x14ac:dyDescent="0.25">
      <c r="B25" s="8" t="s">
        <v>29</v>
      </c>
      <c r="C25" s="51">
        <v>2.2935779816513763E-2</v>
      </c>
      <c r="D25" s="9" t="s">
        <v>30</v>
      </c>
      <c r="E25" s="52">
        <v>0.5</v>
      </c>
      <c r="F25" s="48"/>
      <c r="G25" s="8" t="s">
        <v>18</v>
      </c>
      <c r="H25" s="9">
        <v>2840.2737659328113</v>
      </c>
      <c r="I25" s="9" t="s">
        <v>19</v>
      </c>
      <c r="J25" s="9">
        <v>521.24874356070313</v>
      </c>
      <c r="K25" s="9">
        <v>468.06009625859059</v>
      </c>
      <c r="L25" s="9">
        <v>53.188647302112578</v>
      </c>
      <c r="M25" s="9">
        <v>446.78463733774555</v>
      </c>
      <c r="N25" s="9">
        <v>1350.9916414736595</v>
      </c>
      <c r="O25" s="10" t="s">
        <v>19</v>
      </c>
    </row>
    <row r="26" spans="2:15" x14ac:dyDescent="0.25">
      <c r="B26" s="8" t="s">
        <v>31</v>
      </c>
      <c r="C26" s="51">
        <v>0.70183486238532111</v>
      </c>
      <c r="D26" s="9"/>
      <c r="E26" s="53"/>
      <c r="F26" s="39"/>
      <c r="G26" s="8" t="s">
        <v>20</v>
      </c>
      <c r="H26" s="9">
        <v>126.34385998643283</v>
      </c>
      <c r="I26" s="9" t="s">
        <v>19</v>
      </c>
      <c r="J26" s="9">
        <v>42.114619995477611</v>
      </c>
      <c r="K26" s="9">
        <v>42.114619995477611</v>
      </c>
      <c r="L26" s="9"/>
      <c r="M26" s="9">
        <v>35.191668763344303</v>
      </c>
      <c r="N26" s="9">
        <v>6.922951232133312</v>
      </c>
      <c r="O26" s="10" t="s">
        <v>19</v>
      </c>
    </row>
    <row r="27" spans="2:15" ht="15.75" thickBot="1" x14ac:dyDescent="0.3">
      <c r="B27" s="12" t="s">
        <v>32</v>
      </c>
      <c r="C27" s="13"/>
      <c r="D27" s="13"/>
      <c r="E27" s="15"/>
      <c r="G27" s="12" t="s">
        <v>98</v>
      </c>
      <c r="H27" s="13"/>
      <c r="I27" s="13"/>
      <c r="J27" s="13"/>
      <c r="K27" s="13"/>
      <c r="L27" s="13"/>
      <c r="M27" s="13"/>
      <c r="N27" s="13"/>
      <c r="O27" s="15"/>
    </row>
    <row r="30" spans="2:15" ht="15.75" thickBot="1" x14ac:dyDescent="0.3"/>
    <row r="31" spans="2:15" ht="15.75" thickBot="1" x14ac:dyDescent="0.3">
      <c r="B31" s="49" t="s">
        <v>121</v>
      </c>
      <c r="C31" s="50"/>
    </row>
    <row r="33" spans="2:12" ht="15.75" thickBot="1" x14ac:dyDescent="0.3"/>
    <row r="34" spans="2:12" x14ac:dyDescent="0.25">
      <c r="B34" s="5" t="s">
        <v>108</v>
      </c>
      <c r="C34" s="59">
        <v>2</v>
      </c>
    </row>
    <row r="35" spans="2:12" x14ac:dyDescent="0.25">
      <c r="B35" s="8" t="s">
        <v>113</v>
      </c>
      <c r="C35" s="53" t="s">
        <v>114</v>
      </c>
    </row>
    <row r="36" spans="2:12" x14ac:dyDescent="0.25">
      <c r="B36" s="8" t="s">
        <v>115</v>
      </c>
      <c r="C36" s="53" t="s">
        <v>116</v>
      </c>
    </row>
    <row r="37" spans="2:12" ht="15.75" thickBot="1" x14ac:dyDescent="0.3">
      <c r="B37" s="12" t="s">
        <v>117</v>
      </c>
      <c r="C37" s="60">
        <v>912.9950237999999</v>
      </c>
    </row>
    <row r="38" spans="2:12" x14ac:dyDescent="0.25">
      <c r="B38" s="1" t="s">
        <v>118</v>
      </c>
    </row>
    <row r="41" spans="2:12" ht="15.75" thickBot="1" x14ac:dyDescent="0.3"/>
    <row r="42" spans="2:12" ht="15.75" thickBot="1" x14ac:dyDescent="0.3">
      <c r="B42" s="49" t="s">
        <v>122</v>
      </c>
      <c r="C42" s="50"/>
    </row>
    <row r="44" spans="2:12" ht="15.75" thickBot="1" x14ac:dyDescent="0.3"/>
    <row r="45" spans="2:12" x14ac:dyDescent="0.25">
      <c r="B45" s="41" t="s">
        <v>81</v>
      </c>
      <c r="C45" s="42" t="s">
        <v>82</v>
      </c>
      <c r="D45" s="42" t="s">
        <v>83</v>
      </c>
      <c r="E45" s="42" t="s">
        <v>85</v>
      </c>
      <c r="F45" s="42" t="s">
        <v>84</v>
      </c>
      <c r="G45" s="42" t="s">
        <v>86</v>
      </c>
      <c r="H45" s="42" t="s">
        <v>88</v>
      </c>
      <c r="I45" s="42" t="s">
        <v>87</v>
      </c>
      <c r="J45" s="42"/>
      <c r="K45" s="42" t="s">
        <v>89</v>
      </c>
      <c r="L45" s="43"/>
    </row>
    <row r="46" spans="2:12" x14ac:dyDescent="0.25">
      <c r="B46" s="44" t="s">
        <v>57</v>
      </c>
      <c r="C46" s="45" t="s">
        <v>23</v>
      </c>
      <c r="D46" s="45" t="s">
        <v>58</v>
      </c>
      <c r="E46" s="45" t="s">
        <v>59</v>
      </c>
      <c r="F46" s="45" t="s">
        <v>60</v>
      </c>
      <c r="G46" s="45">
        <v>20</v>
      </c>
      <c r="H46" s="45" t="s">
        <v>61</v>
      </c>
      <c r="I46" s="45" t="s">
        <v>62</v>
      </c>
      <c r="J46" s="45"/>
      <c r="K46" s="9">
        <f>G46/10.37/1000</f>
        <v>1.9286403085824494E-3</v>
      </c>
      <c r="L46" s="10"/>
    </row>
    <row r="47" spans="2:12" x14ac:dyDescent="0.25">
      <c r="B47" s="44" t="s">
        <v>57</v>
      </c>
      <c r="C47" s="45" t="s">
        <v>23</v>
      </c>
      <c r="D47" s="45" t="s">
        <v>63</v>
      </c>
      <c r="E47" s="45" t="s">
        <v>64</v>
      </c>
      <c r="F47" s="45" t="s">
        <v>60</v>
      </c>
      <c r="G47" s="45">
        <v>40</v>
      </c>
      <c r="H47" s="45" t="s">
        <v>61</v>
      </c>
      <c r="I47" s="45" t="s">
        <v>62</v>
      </c>
      <c r="J47" s="45"/>
      <c r="K47" s="9">
        <f t="shared" ref="K47:K55" si="0">G47/10.37/1000</f>
        <v>3.8572806171648989E-3</v>
      </c>
      <c r="L47" s="10"/>
    </row>
    <row r="48" spans="2:12" x14ac:dyDescent="0.25">
      <c r="B48" s="44" t="s">
        <v>57</v>
      </c>
      <c r="C48" s="45" t="s">
        <v>23</v>
      </c>
      <c r="D48" s="45" t="s">
        <v>65</v>
      </c>
      <c r="E48" s="45" t="s">
        <v>66</v>
      </c>
      <c r="F48" s="45" t="s">
        <v>60</v>
      </c>
      <c r="G48" s="45">
        <v>94</v>
      </c>
      <c r="H48" s="45" t="s">
        <v>61</v>
      </c>
      <c r="I48" s="45" t="s">
        <v>62</v>
      </c>
      <c r="J48" s="45"/>
      <c r="K48" s="9">
        <f t="shared" si="0"/>
        <v>9.0646094503375116E-3</v>
      </c>
      <c r="L48" s="10"/>
    </row>
    <row r="49" spans="2:12" x14ac:dyDescent="0.25">
      <c r="B49" s="44" t="s">
        <v>57</v>
      </c>
      <c r="C49" s="45" t="s">
        <v>23</v>
      </c>
      <c r="D49" s="45" t="s">
        <v>67</v>
      </c>
      <c r="E49" s="45" t="s">
        <v>68</v>
      </c>
      <c r="F49" s="45" t="s">
        <v>60</v>
      </c>
      <c r="G49" s="45">
        <v>0.32</v>
      </c>
      <c r="H49" s="45" t="s">
        <v>61</v>
      </c>
      <c r="I49" s="45" t="s">
        <v>62</v>
      </c>
      <c r="J49" s="45"/>
      <c r="K49" s="9">
        <f t="shared" si="0"/>
        <v>3.0858244937319194E-5</v>
      </c>
      <c r="L49" s="10"/>
    </row>
    <row r="50" spans="2:12" x14ac:dyDescent="0.25">
      <c r="B50" s="44" t="s">
        <v>57</v>
      </c>
      <c r="C50" s="45" t="s">
        <v>23</v>
      </c>
      <c r="D50" s="45" t="s">
        <v>69</v>
      </c>
      <c r="E50" s="45" t="s">
        <v>70</v>
      </c>
      <c r="F50" s="45" t="s">
        <v>60</v>
      </c>
      <c r="G50" s="45">
        <v>0.2</v>
      </c>
      <c r="H50" s="45" t="s">
        <v>61</v>
      </c>
      <c r="I50" s="45" t="s">
        <v>62</v>
      </c>
      <c r="J50" s="45"/>
      <c r="K50" s="9">
        <f t="shared" si="0"/>
        <v>1.9286403085824496E-5</v>
      </c>
      <c r="L50" s="10"/>
    </row>
    <row r="51" spans="2:12" x14ac:dyDescent="0.25">
      <c r="B51" s="44" t="s">
        <v>57</v>
      </c>
      <c r="C51" s="45" t="s">
        <v>23</v>
      </c>
      <c r="D51" s="45" t="s">
        <v>71</v>
      </c>
      <c r="E51" s="45" t="s">
        <v>72</v>
      </c>
      <c r="F51" s="45" t="s">
        <v>60</v>
      </c>
      <c r="G51" s="45">
        <v>0.52</v>
      </c>
      <c r="H51" s="45" t="s">
        <v>61</v>
      </c>
      <c r="I51" s="45" t="s">
        <v>62</v>
      </c>
      <c r="J51" s="45"/>
      <c r="K51" s="9">
        <f t="shared" si="0"/>
        <v>5.014464802314369E-5</v>
      </c>
      <c r="L51" s="10"/>
    </row>
    <row r="52" spans="2:12" x14ac:dyDescent="0.25">
      <c r="B52" s="44" t="s">
        <v>57</v>
      </c>
      <c r="C52" s="45" t="s">
        <v>23</v>
      </c>
      <c r="D52" s="45" t="s">
        <v>73</v>
      </c>
      <c r="E52" s="45" t="s">
        <v>74</v>
      </c>
      <c r="F52" s="45" t="s">
        <v>60</v>
      </c>
      <c r="G52" s="45">
        <v>0.11</v>
      </c>
      <c r="H52" s="45" t="s">
        <v>61</v>
      </c>
      <c r="I52" s="45" t="s">
        <v>62</v>
      </c>
      <c r="J52" s="45"/>
      <c r="K52" s="9">
        <f t="shared" si="0"/>
        <v>1.0607521697203472E-5</v>
      </c>
      <c r="L52" s="10"/>
    </row>
    <row r="53" spans="2:12" x14ac:dyDescent="0.25">
      <c r="B53" s="44" t="s">
        <v>57</v>
      </c>
      <c r="C53" s="45" t="s">
        <v>23</v>
      </c>
      <c r="D53" s="45" t="s">
        <v>75</v>
      </c>
      <c r="E53" s="45" t="s">
        <v>76</v>
      </c>
      <c r="F53" s="45" t="s">
        <v>60</v>
      </c>
      <c r="G53" s="45">
        <v>0.43</v>
      </c>
      <c r="H53" s="45" t="s">
        <v>61</v>
      </c>
      <c r="I53" s="45" t="s">
        <v>62</v>
      </c>
      <c r="J53" s="45"/>
      <c r="K53" s="9">
        <f t="shared" si="0"/>
        <v>4.1465766634522666E-5</v>
      </c>
      <c r="L53" s="10"/>
    </row>
    <row r="54" spans="2:12" x14ac:dyDescent="0.25">
      <c r="B54" s="44" t="s">
        <v>57</v>
      </c>
      <c r="C54" s="45" t="s">
        <v>23</v>
      </c>
      <c r="D54" s="45" t="s">
        <v>77</v>
      </c>
      <c r="E54" s="45" t="s">
        <v>78</v>
      </c>
      <c r="F54" s="45" t="s">
        <v>60</v>
      </c>
      <c r="G54" s="45">
        <v>0.6</v>
      </c>
      <c r="H54" s="45" t="s">
        <v>61</v>
      </c>
      <c r="I54" s="45" t="s">
        <v>62</v>
      </c>
      <c r="J54" s="45"/>
      <c r="K54" s="9">
        <f t="shared" si="0"/>
        <v>5.785920925747348E-5</v>
      </c>
      <c r="L54" s="10"/>
    </row>
    <row r="55" spans="2:12" ht="15.75" thickBot="1" x14ac:dyDescent="0.3">
      <c r="B55" s="46" t="s">
        <v>57</v>
      </c>
      <c r="C55" s="47" t="s">
        <v>23</v>
      </c>
      <c r="D55" s="47" t="s">
        <v>79</v>
      </c>
      <c r="E55" s="47" t="s">
        <v>80</v>
      </c>
      <c r="F55" s="47" t="s">
        <v>60</v>
      </c>
      <c r="G55" s="47">
        <v>5.5</v>
      </c>
      <c r="H55" s="47" t="s">
        <v>61</v>
      </c>
      <c r="I55" s="47" t="s">
        <v>62</v>
      </c>
      <c r="J55" s="47"/>
      <c r="K55" s="13">
        <f t="shared" si="0"/>
        <v>5.3037608486017362E-4</v>
      </c>
      <c r="L55" s="15"/>
    </row>
    <row r="56" spans="2:12" ht="15.75" thickBot="1" x14ac:dyDescent="0.3">
      <c r="B56" s="49" t="s">
        <v>101</v>
      </c>
      <c r="C56" s="50"/>
    </row>
  </sheetData>
  <pageMargins left="0.7" right="0.7" top="0.75" bottom="0.75" header="0.3" footer="0.3"/>
  <pageSetup scale="45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GHG Mitigation and Cost Summary</vt:lpstr>
      <vt:lpstr>GHG Reduction (Buildings)</vt:lpstr>
      <vt:lpstr>GHG Reduction (Trees)</vt:lpstr>
      <vt:lpstr>Co-Pollutant Estimates</vt:lpstr>
      <vt:lpstr>Assumptions and References</vt:lpstr>
      <vt:lpstr>'Assumptions and References'!Print_Area</vt:lpstr>
      <vt:lpstr>'GHG Reduction (Trees)'!Print_Area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Douglas</dc:creator>
  <cp:lastModifiedBy>Will Culver</cp:lastModifiedBy>
  <cp:lastPrinted>2024-04-02T00:11:07Z</cp:lastPrinted>
  <dcterms:created xsi:type="dcterms:W3CDTF">2024-03-25T14:42:05Z</dcterms:created>
  <dcterms:modified xsi:type="dcterms:W3CDTF">2024-04-02T00:11:07Z</dcterms:modified>
</cp:coreProperties>
</file>