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1000" documentId="8_{85DE6ACC-46E3-47FB-B9F6-17F15BA40C29}" xr6:coauthVersionLast="47" xr6:coauthVersionMax="47" xr10:uidLastSave="{2A952085-36D1-4F0F-ADF9-FD48DF426039}"/>
  <bookViews>
    <workbookView xWindow="39855" yWindow="-16320" windowWidth="29040" windowHeight="15840" activeTab="6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Tables for Report" sheetId="31" r:id="rId7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0" l="1"/>
  <c r="D55" i="31"/>
  <c r="D54" i="31"/>
  <c r="D64" i="31" s="1"/>
  <c r="E35" i="28" l="1"/>
  <c r="F35" i="28"/>
  <c r="G35" i="28"/>
  <c r="H35" i="28"/>
  <c r="D35" i="28"/>
  <c r="E8" i="28"/>
  <c r="F8" i="28"/>
  <c r="G8" i="28"/>
  <c r="H8" i="28"/>
  <c r="D8" i="28"/>
  <c r="D8" i="27"/>
  <c r="E8" i="27"/>
  <c r="F8" i="27"/>
  <c r="G8" i="27"/>
  <c r="H8" i="27"/>
  <c r="F9" i="16"/>
  <c r="G9" i="16"/>
  <c r="H9" i="16"/>
  <c r="E9" i="16"/>
  <c r="H8" i="16"/>
  <c r="G8" i="16"/>
  <c r="F8" i="16"/>
  <c r="E8" i="16"/>
  <c r="J8" i="28" l="1"/>
  <c r="E28" i="29"/>
  <c r="E10" i="29" s="1"/>
  <c r="F28" i="29"/>
  <c r="F10" i="29" s="1"/>
  <c r="E29" i="29"/>
  <c r="E11" i="29"/>
  <c r="D26" i="29"/>
  <c r="D28" i="29" s="1"/>
  <c r="D10" i="29" s="1"/>
  <c r="E9" i="29" l="1"/>
  <c r="D8" i="29"/>
  <c r="E40" i="31"/>
  <c r="F40" i="31"/>
  <c r="G40" i="31"/>
  <c r="H40" i="31"/>
  <c r="E42" i="31"/>
  <c r="F42" i="31"/>
  <c r="G42" i="31"/>
  <c r="H42" i="31"/>
  <c r="D41" i="31"/>
  <c r="D40" i="31"/>
  <c r="E31" i="31"/>
  <c r="F31" i="31"/>
  <c r="G31" i="31"/>
  <c r="H31" i="31"/>
  <c r="E32" i="31"/>
  <c r="F32" i="31"/>
  <c r="G32" i="31"/>
  <c r="H32" i="31"/>
  <c r="E33" i="31"/>
  <c r="F33" i="31"/>
  <c r="G33" i="31"/>
  <c r="H33" i="31"/>
  <c r="D33" i="31"/>
  <c r="D32" i="31"/>
  <c r="D31" i="31"/>
  <c r="E24" i="31"/>
  <c r="F24" i="31"/>
  <c r="G24" i="31"/>
  <c r="H24" i="31"/>
  <c r="I24" i="31"/>
  <c r="D24" i="31"/>
  <c r="E17" i="31"/>
  <c r="Q8" i="31" s="1"/>
  <c r="F17" i="31"/>
  <c r="R8" i="31" s="1"/>
  <c r="G17" i="31"/>
  <c r="S8" i="31" s="1"/>
  <c r="H17" i="31"/>
  <c r="T8" i="31" s="1"/>
  <c r="I17" i="31"/>
  <c r="D17" i="31"/>
  <c r="E14" i="31"/>
  <c r="Q7" i="31" s="1"/>
  <c r="F14" i="31"/>
  <c r="R7" i="31" s="1"/>
  <c r="G14" i="31"/>
  <c r="S7" i="31" s="1"/>
  <c r="H14" i="31"/>
  <c r="T7" i="31" s="1"/>
  <c r="D18" i="31"/>
  <c r="D14" i="31"/>
  <c r="D8" i="31"/>
  <c r="E7" i="31"/>
  <c r="Q6" i="31" s="1"/>
  <c r="F7" i="31"/>
  <c r="R6" i="31" s="1"/>
  <c r="G7" i="31"/>
  <c r="S6" i="31" s="1"/>
  <c r="H7" i="31"/>
  <c r="T6" i="31" s="1"/>
  <c r="I4" i="31"/>
  <c r="E4" i="31"/>
  <c r="Q5" i="31" s="1"/>
  <c r="F4" i="31"/>
  <c r="R5" i="31" s="1"/>
  <c r="G4" i="31"/>
  <c r="S5" i="31" s="1"/>
  <c r="H4" i="31"/>
  <c r="T5" i="31" s="1"/>
  <c r="D7" i="31"/>
  <c r="D4" i="31"/>
  <c r="P7" i="31" l="1"/>
  <c r="P6" i="31"/>
  <c r="P5" i="31"/>
  <c r="P8" i="31"/>
  <c r="D19" i="31"/>
  <c r="D9" i="31"/>
  <c r="E41" i="31" l="1"/>
  <c r="F41" i="31"/>
  <c r="G28" i="29"/>
  <c r="G41" i="31" s="1"/>
  <c r="H28" i="29"/>
  <c r="H41" i="31" s="1"/>
  <c r="G40" i="29"/>
  <c r="H40" i="29"/>
  <c r="E17" i="16"/>
  <c r="F17" i="16"/>
  <c r="G17" i="16"/>
  <c r="H17" i="16"/>
  <c r="D17" i="16"/>
  <c r="H36" i="16"/>
  <c r="H8" i="31" s="1"/>
  <c r="F37" i="16"/>
  <c r="F18" i="31" s="1"/>
  <c r="F19" i="31" s="1"/>
  <c r="H37" i="16"/>
  <c r="H18" i="31" s="1"/>
  <c r="H19" i="31" s="1"/>
  <c r="E41" i="29"/>
  <c r="D29" i="29"/>
  <c r="D38" i="29"/>
  <c r="E38" i="29"/>
  <c r="F38" i="29"/>
  <c r="G38" i="29"/>
  <c r="H38" i="29"/>
  <c r="G39" i="29"/>
  <c r="H39" i="29"/>
  <c r="D39" i="29"/>
  <c r="E37" i="16"/>
  <c r="E18" i="31" s="1"/>
  <c r="E19" i="31" s="1"/>
  <c r="G37" i="16"/>
  <c r="G18" i="31" s="1"/>
  <c r="G19" i="31" s="1"/>
  <c r="D37" i="16"/>
  <c r="H9" i="31" l="1"/>
  <c r="T9" i="31"/>
  <c r="T10" i="31" s="1"/>
  <c r="D11" i="29"/>
  <c r="D12" i="29" s="1"/>
  <c r="D42" i="31"/>
  <c r="J28" i="29"/>
  <c r="I41" i="31" s="1"/>
  <c r="H42" i="29"/>
  <c r="G42" i="29"/>
  <c r="J25" i="16"/>
  <c r="D41" i="29" l="1"/>
  <c r="D40" i="29"/>
  <c r="J41" i="29"/>
  <c r="E36" i="16"/>
  <c r="E8" i="31" s="1"/>
  <c r="F36" i="16"/>
  <c r="F8" i="31" s="1"/>
  <c r="G36" i="16"/>
  <c r="G8" i="31" s="1"/>
  <c r="D36" i="16"/>
  <c r="F29" i="16"/>
  <c r="F9" i="29"/>
  <c r="G9" i="31" l="1"/>
  <c r="S9" i="31"/>
  <c r="S10" i="31" s="1"/>
  <c r="F9" i="31"/>
  <c r="R9" i="31"/>
  <c r="R10" i="31" s="1"/>
  <c r="E9" i="31"/>
  <c r="Q9" i="31"/>
  <c r="F39" i="29"/>
  <c r="F40" i="29"/>
  <c r="E39" i="29"/>
  <c r="D42" i="29"/>
  <c r="D43" i="31" s="1"/>
  <c r="D44" i="31" s="1"/>
  <c r="H24" i="27"/>
  <c r="G24" i="27"/>
  <c r="F24" i="27"/>
  <c r="E24" i="27"/>
  <c r="D24" i="27"/>
  <c r="P9" i="31" l="1"/>
  <c r="Q10" i="31"/>
  <c r="P10" i="31" s="1"/>
  <c r="F42" i="29"/>
  <c r="E40" i="29"/>
  <c r="J40" i="29" s="1"/>
  <c r="J10" i="29"/>
  <c r="J24" i="27"/>
  <c r="J10" i="16"/>
  <c r="J16" i="16"/>
  <c r="J17" i="16" s="1"/>
  <c r="J8" i="16"/>
  <c r="J9" i="16"/>
  <c r="E14" i="16"/>
  <c r="H13" i="28"/>
  <c r="J8" i="29"/>
  <c r="F14" i="16"/>
  <c r="J39" i="29"/>
  <c r="J38" i="29"/>
  <c r="H34" i="29"/>
  <c r="G34" i="29"/>
  <c r="F34" i="29"/>
  <c r="E34" i="29"/>
  <c r="D34" i="29"/>
  <c r="J33" i="29"/>
  <c r="H31" i="29"/>
  <c r="G31" i="29"/>
  <c r="F31" i="29"/>
  <c r="E31" i="29"/>
  <c r="D31" i="29"/>
  <c r="J30" i="29"/>
  <c r="J29" i="29"/>
  <c r="I42" i="31" s="1"/>
  <c r="J27" i="29"/>
  <c r="J26" i="29"/>
  <c r="H24" i="29"/>
  <c r="G24" i="29"/>
  <c r="F24" i="29"/>
  <c r="E24" i="29"/>
  <c r="D24" i="29"/>
  <c r="J23" i="29"/>
  <c r="H21" i="29"/>
  <c r="G21" i="29"/>
  <c r="F21" i="29"/>
  <c r="E21" i="29"/>
  <c r="D21" i="29"/>
  <c r="J20" i="29"/>
  <c r="H18" i="29"/>
  <c r="G18" i="29"/>
  <c r="F18" i="29"/>
  <c r="E18" i="29"/>
  <c r="D18" i="29"/>
  <c r="J17" i="29"/>
  <c r="H15" i="29"/>
  <c r="G15" i="29"/>
  <c r="F15" i="29"/>
  <c r="E15" i="29"/>
  <c r="D15" i="29"/>
  <c r="J14" i="29"/>
  <c r="H12" i="29"/>
  <c r="H43" i="31" s="1"/>
  <c r="H44" i="31" s="1"/>
  <c r="G12" i="29"/>
  <c r="G43" i="31" s="1"/>
  <c r="G44" i="31" s="1"/>
  <c r="F12" i="29"/>
  <c r="E12" i="29"/>
  <c r="J11" i="29"/>
  <c r="J9" i="29"/>
  <c r="J36" i="28"/>
  <c r="H31" i="28"/>
  <c r="G31" i="28"/>
  <c r="F31" i="28"/>
  <c r="E31" i="28"/>
  <c r="D31" i="28"/>
  <c r="J30" i="28"/>
  <c r="H28" i="28"/>
  <c r="G28" i="28"/>
  <c r="F28" i="28"/>
  <c r="E28" i="28"/>
  <c r="D28" i="28"/>
  <c r="J27" i="28"/>
  <c r="J26" i="28"/>
  <c r="I33" i="31" s="1"/>
  <c r="J25" i="28"/>
  <c r="I32" i="31" s="1"/>
  <c r="J24" i="28"/>
  <c r="I31" i="31" s="1"/>
  <c r="H22" i="28"/>
  <c r="G22" i="28"/>
  <c r="F22" i="28"/>
  <c r="E22" i="28"/>
  <c r="D22" i="28"/>
  <c r="J21" i="28"/>
  <c r="H19" i="28"/>
  <c r="G19" i="28"/>
  <c r="F19" i="28"/>
  <c r="E19" i="28"/>
  <c r="D19" i="28"/>
  <c r="J18" i="28"/>
  <c r="H16" i="28"/>
  <c r="G16" i="28"/>
  <c r="F16" i="28"/>
  <c r="E16" i="28"/>
  <c r="D16" i="28"/>
  <c r="J15" i="28"/>
  <c r="J12" i="28"/>
  <c r="H10" i="28"/>
  <c r="G10" i="28"/>
  <c r="F10" i="28"/>
  <c r="E10" i="28"/>
  <c r="D10" i="28"/>
  <c r="J34" i="27"/>
  <c r="H29" i="27"/>
  <c r="G29" i="27"/>
  <c r="F29" i="27"/>
  <c r="E29" i="27"/>
  <c r="D29" i="27"/>
  <c r="J28" i="27"/>
  <c r="H26" i="27"/>
  <c r="G26" i="27"/>
  <c r="F26" i="27"/>
  <c r="E26" i="27"/>
  <c r="D26" i="27"/>
  <c r="J25" i="27"/>
  <c r="H22" i="27"/>
  <c r="G22" i="27"/>
  <c r="F22" i="27"/>
  <c r="E22" i="27"/>
  <c r="D22" i="27"/>
  <c r="J21" i="27"/>
  <c r="J22" i="27"/>
  <c r="H19" i="27"/>
  <c r="G19" i="27"/>
  <c r="F19" i="27"/>
  <c r="E19" i="27"/>
  <c r="D19" i="27"/>
  <c r="J18" i="27"/>
  <c r="J19" i="27" s="1"/>
  <c r="H16" i="27"/>
  <c r="G16" i="27"/>
  <c r="F16" i="27"/>
  <c r="E16" i="27"/>
  <c r="D16" i="27"/>
  <c r="J15" i="27"/>
  <c r="J16" i="27" s="1"/>
  <c r="H10" i="27"/>
  <c r="G10" i="27"/>
  <c r="F10" i="27"/>
  <c r="E10" i="27"/>
  <c r="D10" i="27"/>
  <c r="J9" i="27"/>
  <c r="J8" i="27"/>
  <c r="E38" i="16"/>
  <c r="F38" i="16"/>
  <c r="G38" i="16"/>
  <c r="H38" i="16"/>
  <c r="D38" i="16"/>
  <c r="J37" i="16"/>
  <c r="J36" i="16"/>
  <c r="E32" i="16"/>
  <c r="F32" i="16"/>
  <c r="G32" i="16"/>
  <c r="H32" i="16"/>
  <c r="D32" i="16"/>
  <c r="E29" i="16"/>
  <c r="G29" i="16"/>
  <c r="H29" i="16"/>
  <c r="D29" i="16"/>
  <c r="J28" i="16"/>
  <c r="E23" i="16"/>
  <c r="F23" i="16"/>
  <c r="G23" i="16"/>
  <c r="H23" i="16"/>
  <c r="D23" i="16"/>
  <c r="J22" i="16"/>
  <c r="J26" i="16"/>
  <c r="I7" i="31" s="1"/>
  <c r="J27" i="16"/>
  <c r="I14" i="31" s="1"/>
  <c r="J31" i="16"/>
  <c r="E20" i="16"/>
  <c r="F20" i="16"/>
  <c r="G20" i="16"/>
  <c r="H20" i="16"/>
  <c r="D20" i="16"/>
  <c r="J19" i="16"/>
  <c r="J20" i="16" s="1"/>
  <c r="E11" i="16"/>
  <c r="F11" i="16"/>
  <c r="G11" i="16"/>
  <c r="H11" i="16"/>
  <c r="D11" i="16"/>
  <c r="G14" i="16"/>
  <c r="H14" i="16"/>
  <c r="D14" i="16"/>
  <c r="J13" i="16"/>
  <c r="I18" i="31" l="1"/>
  <c r="I19" i="31" s="1"/>
  <c r="I8" i="31"/>
  <c r="I9" i="31"/>
  <c r="E42" i="29"/>
  <c r="E43" i="31" s="1"/>
  <c r="E44" i="31" s="1"/>
  <c r="I40" i="31"/>
  <c r="F43" i="31"/>
  <c r="F44" i="31" s="1"/>
  <c r="H37" i="28"/>
  <c r="F12" i="30"/>
  <c r="G9" i="30"/>
  <c r="D9" i="30"/>
  <c r="E13" i="30"/>
  <c r="E7" i="30"/>
  <c r="D13" i="28"/>
  <c r="D32" i="28" s="1"/>
  <c r="D37" i="28"/>
  <c r="E13" i="28"/>
  <c r="E37" i="28"/>
  <c r="E9" i="30"/>
  <c r="F13" i="28"/>
  <c r="F37" i="28"/>
  <c r="F9" i="30"/>
  <c r="G13" i="28"/>
  <c r="G32" i="28" s="1"/>
  <c r="G37" i="28"/>
  <c r="G13" i="30"/>
  <c r="H9" i="30"/>
  <c r="H12" i="30"/>
  <c r="H11" i="30"/>
  <c r="H10" i="30"/>
  <c r="E10" i="30"/>
  <c r="D12" i="30"/>
  <c r="H7" i="30"/>
  <c r="J29" i="27"/>
  <c r="F7" i="30"/>
  <c r="H13" i="30"/>
  <c r="E12" i="30"/>
  <c r="G7" i="30"/>
  <c r="F13" i="30"/>
  <c r="G10" i="30"/>
  <c r="F10" i="30"/>
  <c r="D7" i="30"/>
  <c r="G12" i="30"/>
  <c r="D13" i="30"/>
  <c r="J10" i="27"/>
  <c r="D11" i="30"/>
  <c r="E13" i="27"/>
  <c r="E30" i="27" s="1"/>
  <c r="E33" i="27"/>
  <c r="J26" i="27"/>
  <c r="G11" i="30"/>
  <c r="F13" i="27"/>
  <c r="F33" i="27"/>
  <c r="D10" i="30"/>
  <c r="F11" i="30"/>
  <c r="G13" i="27"/>
  <c r="G33" i="27"/>
  <c r="E11" i="30"/>
  <c r="H13" i="27"/>
  <c r="H8" i="30" s="1"/>
  <c r="H33" i="27"/>
  <c r="J32" i="16"/>
  <c r="J23" i="16"/>
  <c r="J29" i="16"/>
  <c r="J38" i="16"/>
  <c r="J21" i="29"/>
  <c r="J15" i="29"/>
  <c r="J24" i="29"/>
  <c r="J12" i="29"/>
  <c r="D33" i="16"/>
  <c r="D40" i="16" s="1"/>
  <c r="D13" i="27"/>
  <c r="D33" i="27"/>
  <c r="D25" i="31" s="1"/>
  <c r="D26" i="31" s="1"/>
  <c r="J12" i="27"/>
  <c r="J13" i="27" s="1"/>
  <c r="J28" i="28"/>
  <c r="J19" i="28"/>
  <c r="J22" i="28"/>
  <c r="J16" i="28"/>
  <c r="E32" i="28"/>
  <c r="J13" i="28"/>
  <c r="H32" i="28"/>
  <c r="F32" i="28"/>
  <c r="J10" i="28"/>
  <c r="J31" i="29"/>
  <c r="J18" i="29"/>
  <c r="E35" i="29"/>
  <c r="G35" i="29"/>
  <c r="G44" i="29" s="1"/>
  <c r="H35" i="29"/>
  <c r="H44" i="29" s="1"/>
  <c r="D35" i="29"/>
  <c r="D44" i="29" s="1"/>
  <c r="F35" i="29"/>
  <c r="F44" i="29" s="1"/>
  <c r="F30" i="27"/>
  <c r="H33" i="16"/>
  <c r="H40" i="16" s="1"/>
  <c r="J11" i="16"/>
  <c r="J14" i="16"/>
  <c r="J34" i="29"/>
  <c r="J31" i="28"/>
  <c r="E33" i="16"/>
  <c r="G33" i="16"/>
  <c r="F33" i="16"/>
  <c r="D51" i="31" l="1"/>
  <c r="D61" i="31" s="1"/>
  <c r="E39" i="28"/>
  <c r="D39" i="28"/>
  <c r="H35" i="27"/>
  <c r="H25" i="31"/>
  <c r="H26" i="31" s="1"/>
  <c r="F35" i="27"/>
  <c r="F37" i="27" s="1"/>
  <c r="F25" i="31"/>
  <c r="F26" i="31" s="1"/>
  <c r="E35" i="27"/>
  <c r="E37" i="27" s="1"/>
  <c r="E25" i="31"/>
  <c r="E26" i="31" s="1"/>
  <c r="G35" i="27"/>
  <c r="G16" i="30" s="1"/>
  <c r="G25" i="31"/>
  <c r="G26" i="31" s="1"/>
  <c r="L19" i="31"/>
  <c r="E44" i="29"/>
  <c r="J42" i="29"/>
  <c r="I43" i="31" s="1"/>
  <c r="I44" i="31" s="1"/>
  <c r="D34" i="31"/>
  <c r="D35" i="31" s="1"/>
  <c r="H16" i="30"/>
  <c r="H39" i="28"/>
  <c r="F34" i="31"/>
  <c r="F35" i="31" s="1"/>
  <c r="G39" i="28"/>
  <c r="H34" i="31"/>
  <c r="H35" i="31" s="1"/>
  <c r="G34" i="31"/>
  <c r="G35" i="31" s="1"/>
  <c r="E16" i="30"/>
  <c r="E34" i="31"/>
  <c r="E35" i="31" s="1"/>
  <c r="J37" i="28"/>
  <c r="F16" i="30"/>
  <c r="F8" i="30"/>
  <c r="F14" i="30" s="1"/>
  <c r="D8" i="30"/>
  <c r="J35" i="28"/>
  <c r="I34" i="31" s="1"/>
  <c r="I35" i="31" s="1"/>
  <c r="D53" i="31" s="1"/>
  <c r="D63" i="31" s="1"/>
  <c r="G8" i="30"/>
  <c r="J10" i="30"/>
  <c r="H14" i="30"/>
  <c r="D30" i="27"/>
  <c r="G14" i="30"/>
  <c r="H30" i="27"/>
  <c r="H37" i="27" s="1"/>
  <c r="G30" i="27"/>
  <c r="G37" i="27" s="1"/>
  <c r="E8" i="30"/>
  <c r="E14" i="30" s="1"/>
  <c r="J33" i="16"/>
  <c r="J40" i="16" s="1"/>
  <c r="E40" i="16"/>
  <c r="G40" i="16"/>
  <c r="F40" i="16"/>
  <c r="D35" i="27"/>
  <c r="J33" i="27"/>
  <c r="I25" i="31" s="1"/>
  <c r="I26" i="31" s="1"/>
  <c r="D52" i="31" s="1"/>
  <c r="J11" i="30"/>
  <c r="J12" i="30"/>
  <c r="J9" i="30"/>
  <c r="J32" i="28"/>
  <c r="J7" i="30"/>
  <c r="F39" i="28"/>
  <c r="D14" i="30"/>
  <c r="J13" i="30"/>
  <c r="J35" i="29"/>
  <c r="D56" i="31" l="1"/>
  <c r="D62" i="31"/>
  <c r="D65" i="31" s="1"/>
  <c r="M19" i="31"/>
  <c r="H18" i="30"/>
  <c r="J39" i="28"/>
  <c r="D25" i="30" s="1"/>
  <c r="J44" i="29"/>
  <c r="D26" i="30" s="1"/>
  <c r="E18" i="30"/>
  <c r="G18" i="30"/>
  <c r="J8" i="30"/>
  <c r="F18" i="30"/>
  <c r="J30" i="27"/>
  <c r="D37" i="27"/>
  <c r="D16" i="30"/>
  <c r="J16" i="30" s="1"/>
  <c r="J35" i="27"/>
  <c r="J14" i="30"/>
  <c r="M35" i="31" l="1"/>
  <c r="M44" i="31"/>
  <c r="D23" i="30"/>
  <c r="J37" i="27"/>
  <c r="J18" i="30"/>
  <c r="D18" i="30"/>
  <c r="D24" i="30" l="1"/>
  <c r="D29" i="30" s="1"/>
  <c r="E25" i="30" s="1"/>
  <c r="M26" i="31"/>
  <c r="E24" i="30"/>
  <c r="E23" i="30" l="1"/>
  <c r="E27" i="30"/>
  <c r="E26" i="30"/>
  <c r="E29" i="30" l="1"/>
</calcChain>
</file>

<file path=xl/sharedStrings.xml><?xml version="1.0" encoding="utf-8"?>
<sst xmlns="http://schemas.openxmlformats.org/spreadsheetml/2006/main" count="354" uniqueCount="120">
  <si>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</si>
  <si>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</si>
  <si>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</si>
  <si>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</si>
  <si>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</si>
  <si>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</si>
  <si>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</si>
  <si>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</si>
  <si>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</si>
  <si>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</si>
  <si>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</si>
  <si>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</si>
  <si>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</si>
  <si>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</si>
  <si>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</si>
  <si>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</si>
  <si>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</si>
  <si>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</si>
  <si>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</si>
  <si>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</si>
  <si>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</si>
  <si>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</si>
  <si>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</si>
  <si>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</si>
  <si>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</si>
  <si>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</si>
  <si>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</si>
  <si>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</si>
  <si>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</si>
  <si>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</si>
  <si>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</si>
  <si>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</si>
  <si>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</si>
  <si>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</si>
  <si>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</si>
  <si>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</si>
  <si>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</si>
  <si>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</si>
  <si>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</si>
  <si>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</si>
  <si>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</si>
  <si>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</si>
  <si>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>Advanced Aeration Control for Water Resource Recovery Facilities (WRRF) [Western Branch and Seneca]</t>
  </si>
  <si>
    <t>Asset Health and Monitoring; Pump Optimization</t>
  </si>
  <si>
    <t>Microgrid</t>
  </si>
  <si>
    <t>Design-Builder</t>
  </si>
  <si>
    <t>Preliminary Engineering</t>
  </si>
  <si>
    <t>Pump Optimization $5,000 per pump for 20 pumps per year</t>
  </si>
  <si>
    <t xml:space="preserve">WSSC fully-loaded rate is  1.5 x salary </t>
  </si>
  <si>
    <t>Design-Builder RFP Solicitation</t>
  </si>
  <si>
    <t>WSSC Project Management blended rate @ $133,333/yr, ~3 hours per week</t>
  </si>
  <si>
    <t>Seneca Construction</t>
  </si>
  <si>
    <t>Western Branch Construction</t>
  </si>
  <si>
    <t>Seneca Planning, Design, Supervision</t>
  </si>
  <si>
    <t>Western Branch Planning, Design, Supervision</t>
  </si>
  <si>
    <t xml:space="preserve">Seneca WSSC fully-loaded rate is  1.5 x salary </t>
  </si>
  <si>
    <t xml:space="preserve">Seneca WSSC Project Management blended rate @ $133,333/yr, variable FTE depending on stage </t>
  </si>
  <si>
    <t xml:space="preserve">Western Branch WSSC Project Management blended rate @ $133,333/yr, variable FTE depending on stage </t>
  </si>
  <si>
    <t xml:space="preserve">Western Branch WSSC fully-loaded rate is  1.5 x salary </t>
  </si>
  <si>
    <t xml:space="preserve">Anacostia Depot Renovation Solar Installation Based on estimated Solar installation cost $2.50/W x 1,606,500 W </t>
  </si>
  <si>
    <t>Detailed Budget Table Advanced Aeration Control for Water Resource Recovery Facilities (WRRF) [Western Branch and Seneca]</t>
  </si>
  <si>
    <t>Detailed Budget Table Asset Health and Monitoring; Pump Optimization</t>
  </si>
  <si>
    <t>Detailed Budget Table Microgrid</t>
  </si>
  <si>
    <t>Detailed Budget Table Anacostia Depot Sewer (Wastewater) Thermal and Solar</t>
  </si>
  <si>
    <t xml:space="preserve">Solar WSSC fully-loaded rate is  1.5 x salary </t>
  </si>
  <si>
    <t>Anacostia Depot Sewer (Wastewater) Thermal and Solar</t>
  </si>
  <si>
    <t>YEAR 1 (FY2025)</t>
  </si>
  <si>
    <t>YEAR 2 (FY2026)</t>
  </si>
  <si>
    <t>YEAR 3 (FY2027)</t>
  </si>
  <si>
    <t>YEAR 4 (FY 2028)</t>
  </si>
  <si>
    <t>YEAR 5 (FY2029)</t>
  </si>
  <si>
    <t>Anacostia Depot Renovation Solar Project Management blended rate @ $133,333/yr, ~1.5 FTE per year</t>
  </si>
  <si>
    <t>Anacostia Depot Renovation Thermal (Admin building) Phase 2 – Construction</t>
  </si>
  <si>
    <t xml:space="preserve">Admin building Design WSSC fully-loaded rate is  1.5 x salary </t>
  </si>
  <si>
    <t>Anacostia Depot Renovation (Admin building) Thermal Design - WSSC Project Management blended rate @ $133,333/yr, ~.23 FTE</t>
  </si>
  <si>
    <t>Shops and Warehouse WSSC fully-loaded rate is 1.5 x salary</t>
  </si>
  <si>
    <t xml:space="preserve">Admin building Construction WSSC fully-loaded rate is  1.5 x salary </t>
  </si>
  <si>
    <t>Seneca Item Description</t>
  </si>
  <si>
    <t>FY 2025</t>
  </si>
  <si>
    <t>FY 2026</t>
  </si>
  <si>
    <t>FY 2027</t>
  </si>
  <si>
    <t>FY 2028</t>
  </si>
  <si>
    <t>FY 2029</t>
  </si>
  <si>
    <t>Planning, design, supervision</t>
  </si>
  <si>
    <t>Land</t>
  </si>
  <si>
    <t>Site improvements &amp; utilities</t>
  </si>
  <si>
    <t>Construction</t>
  </si>
  <si>
    <t>WSSC Administration (15.0%)</t>
  </si>
  <si>
    <t>Total Costs</t>
  </si>
  <si>
    <t>Western Branch Item Description</t>
  </si>
  <si>
    <t>QC</t>
  </si>
  <si>
    <t>Pump Optimization</t>
  </si>
  <si>
    <t>Anacostia Depot</t>
  </si>
  <si>
    <t>Sewer thermal – Shop and Warehouse</t>
  </si>
  <si>
    <t xml:space="preserve">Solar Installation </t>
  </si>
  <si>
    <t>Sewer thermal – Admin Building</t>
  </si>
  <si>
    <t>Anacostia Depot Renovation (Admin building) Thermal Construction -WSSC Project Management blended rate @ $133,333/yr, ~1.23 FTE</t>
  </si>
  <si>
    <t>Anacostia Depot Renovation Thermal (Admin building) Phase 1 – Preliminary Engineering and Design</t>
  </si>
  <si>
    <t>Anacostia Deport Renovation Thermal (Shops and Warehouse) -Preliminary Engineering, Design and Construction</t>
  </si>
  <si>
    <t>Anacostia Depot Renovation (Shop and Warehouse) Thermal Construction -WSSC Project Management blended rate @ $133,333/yr, variable FTEs (approx. 0.25 FTE year 1 and 1.3 FTE years 2 and 3)</t>
  </si>
  <si>
    <t>WSSC Project Management blended rate @ $133,333/yr, variable FTEs (approx. 1.15 FTE year 1l 0.34 FTE year 2; 6 FTE year 3; and  4.5 FTE years 4 and 5)</t>
  </si>
  <si>
    <t>Cost Element​</t>
  </si>
  <si>
    <t>Total Cost​</t>
  </si>
  <si>
    <t>FY 2026​</t>
  </si>
  <si>
    <t>FY 2027​</t>
  </si>
  <si>
    <t>FY 2028​</t>
  </si>
  <si>
    <t>FY 2029​</t>
  </si>
  <si>
    <t>Contractual​</t>
  </si>
  <si>
    <t>WSSC Administration​</t>
  </si>
  <si>
    <t>Total ​</t>
  </si>
  <si>
    <t>Planning and Design ​(Seneca WRRF)​</t>
  </si>
  <si>
    <t>Construction ​ (Western Branch WRRF)​</t>
  </si>
  <si>
    <t xml:space="preserve">Construction (Seneca WRRF)​ </t>
  </si>
  <si>
    <t>Planning and Design ​(Western Branch WRRF)​</t>
  </si>
  <si>
    <t> Measure/Project</t>
  </si>
  <si>
    <t>Advanced Aeration Control (Seneca and Western Branch)</t>
  </si>
  <si>
    <t>Anacostia Depot Sewer Thermal</t>
  </si>
  <si>
    <t>Anacostia Depot Sewer Solar</t>
  </si>
  <si>
    <t>Cost</t>
  </si>
  <si>
    <t>Anacostia Depot Sewer Thermal and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</si>
</sst>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"/>
    <numFmt numFmtId="166" formatCode="_(* #,##0.000_);_(* \(#,##0.00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0.0%"/>
    <numFmt numFmtId="170" formatCode="&quot;$&quot;#,##0.0_);[Red]\(&quot;$&quot;#,##0.0\)"/>
    <numFmt numFmtId="171" formatCode="&quot;$&quot;#,##0.000000000_);[Red]\(&quot;$&quot;#,##0.000000000\)"/>
    <numFmt numFmtId="172" formatCode="0.000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7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16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8" fontId="9" fillId="0" borderId="1" xfId="0" applyNumberFormat="1" applyFont="1" applyFill="1" applyBorder="1" applyAlignment="1">
      <alignment wrapText="1"/>
    </xf>
    <xf numFmtId="164" fontId="7" fillId="4" borderId="1" xfId="1" applyNumberFormat="1" applyFont="1" applyFill="1" applyBorder="1" applyAlignment="1">
      <alignment wrapText="1"/>
    </xf>
    <xf numFmtId="43" fontId="0" fillId="0" borderId="0" xfId="3" applyFont="1" applyFill="1" applyBorder="1"/>
    <xf numFmtId="165" fontId="0" fillId="0" borderId="0" xfId="0" applyNumberFormat="1" applyFont="1" applyFill="1" applyBorder="1"/>
    <xf numFmtId="166" fontId="0" fillId="0" borderId="0" xfId="3" applyNumberFormat="1" applyFont="1" applyFill="1" applyBorder="1"/>
    <xf numFmtId="167" fontId="0" fillId="0" borderId="0" xfId="3" applyNumberFormat="1" applyFont="1" applyFill="1" applyBorder="1"/>
    <xf numFmtId="168" fontId="0" fillId="0" borderId="0" xfId="3" applyNumberFormat="1" applyFont="1" applyFill="1" applyBorder="1"/>
    <xf numFmtId="6" fontId="0" fillId="0" borderId="0" xfId="0" applyNumberFormat="1" applyFont="1" applyBorder="1" applyAlignment="1">
      <alignment vertical="top"/>
    </xf>
    <xf numFmtId="6" fontId="0" fillId="0" borderId="0" xfId="0" applyNumberFormat="1" applyFont="1" applyBorder="1"/>
    <xf numFmtId="164" fontId="9" fillId="0" borderId="1" xfId="1" applyNumberFormat="1" applyFont="1" applyFill="1" applyBorder="1" applyAlignment="1">
      <alignment wrapText="1"/>
    </xf>
    <xf numFmtId="8" fontId="0" fillId="0" borderId="0" xfId="0" applyNumberFormat="1" applyFont="1" applyFill="1" applyBorder="1"/>
    <xf numFmtId="164" fontId="9" fillId="4" borderId="1" xfId="0" applyNumberFormat="1" applyFont="1" applyFill="1" applyBorder="1" applyAlignment="1">
      <alignment wrapText="1"/>
    </xf>
    <xf numFmtId="1" fontId="0" fillId="0" borderId="0" xfId="0" applyNumberFormat="1" applyAlignment="1">
      <alignment vertical="top"/>
    </xf>
    <xf numFmtId="8" fontId="0" fillId="0" borderId="0" xfId="0" applyNumberFormat="1" applyFont="1" applyBorder="1" applyAlignment="1">
      <alignment vertical="top"/>
    </xf>
    <xf numFmtId="169" fontId="0" fillId="0" borderId="0" xfId="2" applyNumberFormat="1" applyFont="1" applyFill="1" applyBorder="1" applyAlignment="1">
      <alignment vertical="top"/>
    </xf>
    <xf numFmtId="6" fontId="0" fillId="0" borderId="0" xfId="0" applyNumberFormat="1" applyFont="1" applyFill="1" applyBorder="1"/>
    <xf numFmtId="8" fontId="0" fillId="0" borderId="0" xfId="0" applyNumberFormat="1"/>
    <xf numFmtId="170" fontId="0" fillId="0" borderId="0" xfId="0" applyNumberFormat="1"/>
    <xf numFmtId="6" fontId="18" fillId="0" borderId="0" xfId="0" applyNumberFormat="1" applyFont="1"/>
    <xf numFmtId="0" fontId="18" fillId="0" borderId="0" xfId="0" applyFont="1"/>
    <xf numFmtId="171" fontId="0" fillId="0" borderId="0" xfId="0" applyNumberFormat="1"/>
    <xf numFmtId="6" fontId="18" fillId="0" borderId="0" xfId="0" applyNumberFormat="1" applyFont="1" applyFill="1" applyBorder="1"/>
    <xf numFmtId="172" fontId="0" fillId="0" borderId="0" xfId="0" applyNumberFormat="1"/>
    <xf numFmtId="6" fontId="2" fillId="0" borderId="0" xfId="0" applyNumberFormat="1" applyFont="1"/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6" fontId="19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6" x14ac:dyDescent="0.4"/>
  <cols>
    <col min="1" max="1" width="1.84375" customWidth="1"/>
    <col min="5" max="5" width="13.3828125" bestFit="1" customWidth="1"/>
    <col min="6" max="6" width="14.3828125" bestFit="1" customWidth="1"/>
    <col min="7" max="9" width="14.3828125" customWidth="1"/>
    <col min="10" max="10" width="10.84375" bestFit="1" customWidth="1"/>
    <col min="11" max="11" width="15.53515625" customWidth="1"/>
    <col min="18" max="18" width="37.53515625" customWidth="1"/>
  </cols>
  <sheetData>
    <row r="1" spans="4:11" ht="10.5" customHeight="1" x14ac:dyDescent="0.4"/>
    <row r="2" spans="4:11" x14ac:dyDescent="0.4">
      <c r="D2" s="4"/>
      <c r="E2" s="4"/>
      <c r="J2" s="39"/>
      <c r="K2" s="4"/>
    </row>
    <row r="3" spans="4:11" x14ac:dyDescent="0.4">
      <c r="D3" s="4"/>
      <c r="E3" s="4"/>
      <c r="J3" s="37"/>
      <c r="K3" s="38"/>
    </row>
    <row r="4" spans="4:11" x14ac:dyDescent="0.4">
      <c r="D4" s="5"/>
      <c r="E4" s="4"/>
    </row>
    <row r="9" spans="4:11" x14ac:dyDescent="0.4">
      <c r="J9" s="26"/>
    </row>
    <row r="17" spans="5:18" x14ac:dyDescent="0.4">
      <c r="E17" s="40"/>
      <c r="F17" s="40"/>
      <c r="G17" s="40"/>
      <c r="H17" s="40"/>
      <c r="I17" s="40"/>
    </row>
    <row r="18" spans="5:18" x14ac:dyDescent="0.4">
      <c r="E18" s="40"/>
      <c r="F18" s="40"/>
      <c r="G18" s="40"/>
      <c r="H18" s="40"/>
      <c r="I18" s="40"/>
    </row>
    <row r="27" spans="5:18" ht="23.15" x14ac:dyDescent="0.6">
      <c r="Q27" s="73"/>
      <c r="R27" s="74"/>
    </row>
    <row r="28" spans="5:18" x14ac:dyDescent="0.4">
      <c r="Q28" s="75"/>
      <c r="R28" s="7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1"/>
  <sheetViews>
    <sheetView showGridLines="0" topLeftCell="A7" zoomScale="83" zoomScaleNormal="85" workbookViewId="0">
      <selection activeCell="L15" sqref="L15"/>
    </sheetView>
  </sheetViews>
  <sheetFormatPr defaultColWidth="9.15234375" defaultRowHeight="15" customHeight="1" x14ac:dyDescent="0.4"/>
  <cols>
    <col min="1" max="1" width="3.15234375" customWidth="1"/>
    <col min="2" max="2" width="12.15234375" customWidth="1"/>
    <col min="3" max="3" width="29.15234375" customWidth="1"/>
    <col min="4" max="4" width="12.84375" style="51" bestFit="1" customWidth="1"/>
    <col min="5" max="5" width="11.84375" style="3" customWidth="1"/>
    <col min="6" max="7" width="12.15234375" customWidth="1"/>
    <col min="8" max="8" width="12" style="3" customWidth="1"/>
    <col min="9" max="9" width="3.53515625" style="52" customWidth="1"/>
    <col min="10" max="10" width="14.3046875" bestFit="1" customWidth="1"/>
    <col min="11" max="11" width="10.15234375" customWidth="1"/>
    <col min="13" max="13" width="12.15234375" bestFit="1" customWidth="1"/>
    <col min="14" max="14" width="13.84375" bestFit="1" customWidth="1"/>
  </cols>
  <sheetData>
    <row r="2" spans="2:39" ht="23.15" x14ac:dyDescent="0.6">
      <c r="B2" s="36" t="s">
        <v>0</v>
      </c>
    </row>
    <row r="3" spans="2:39" ht="26.5" customHeight="1" x14ac:dyDescent="0.4">
      <c r="B3" s="115" t="s">
        <v>1</v>
      </c>
      <c r="C3" s="115"/>
      <c r="D3" s="115"/>
      <c r="E3" s="115"/>
      <c r="F3" s="115"/>
      <c r="G3" s="115"/>
      <c r="H3" s="115"/>
      <c r="I3" s="115"/>
      <c r="J3" s="115"/>
    </row>
    <row r="4" spans="2:39" ht="15" customHeight="1" x14ac:dyDescent="0.4">
      <c r="B4" s="7"/>
    </row>
    <row r="5" spans="2:39" ht="18.45" x14ac:dyDescent="0.5">
      <c r="B5" s="53" t="s">
        <v>2</v>
      </c>
      <c r="C5" s="54"/>
      <c r="D5" s="54"/>
      <c r="E5" s="54"/>
      <c r="F5" s="54"/>
      <c r="G5" s="54"/>
      <c r="H5" s="54"/>
      <c r="I5" s="54"/>
      <c r="J5" s="80"/>
    </row>
    <row r="6" spans="2:39" ht="29.15" x14ac:dyDescent="0.4">
      <c r="B6" s="55" t="s">
        <v>3</v>
      </c>
      <c r="C6" s="55" t="s">
        <v>4</v>
      </c>
      <c r="D6" s="55" t="s">
        <v>66</v>
      </c>
      <c r="E6" s="56" t="s">
        <v>67</v>
      </c>
      <c r="F6" s="56" t="s">
        <v>68</v>
      </c>
      <c r="G6" s="56" t="s">
        <v>69</v>
      </c>
      <c r="H6" s="57" t="s">
        <v>70</v>
      </c>
      <c r="I6" s="58"/>
      <c r="J6" s="81" t="s">
        <v>10</v>
      </c>
      <c r="N6" s="40">
        <f>D18/4</f>
        <v>1225705.9335031328</v>
      </c>
    </row>
    <row r="7" spans="2:39" s="7" customFormat="1" ht="14.6" x14ac:dyDescent="0.4">
      <c r="B7" s="59" t="s">
        <v>11</v>
      </c>
      <c r="C7" s="60" t="s">
        <v>12</v>
      </c>
      <c r="D7" s="61">
        <f>'Measure 1 Budget'!D11+'Measure 2 Budget'!D10+'Measure 3 Budget'!D10+'Measure 4 Budget'!D12</f>
        <v>426332.48934168741</v>
      </c>
      <c r="E7" s="61">
        <f>'Measure 1 Budget'!E11+'Measure 2 Budget'!E10+'Measure 3 Budget'!E10+'Measure 4 Budget'!E12</f>
        <v>603437.48491406243</v>
      </c>
      <c r="F7" s="61">
        <f>'Measure 1 Budget'!F11+'Measure 2 Budget'!F10+'Measure 3 Budget'!F10+'Measure 4 Budget'!F12</f>
        <v>1199924.970001875</v>
      </c>
      <c r="G7" s="61">
        <f>'Measure 1 Budget'!G11+'Measure 2 Budget'!G10+'Measure 3 Budget'!G10+'Measure 4 Budget'!G12</f>
        <v>1179199.97052</v>
      </c>
      <c r="H7" s="61">
        <f>'Measure 1 Budget'!H11+'Measure 2 Budget'!H10+'Measure 3 Budget'!H10+'Measure 4 Budget'!H12</f>
        <v>929199.97676999983</v>
      </c>
      <c r="I7" s="62"/>
      <c r="J7" s="61">
        <f>SUM(D7:I7)</f>
        <v>4338094.891547625</v>
      </c>
      <c r="K7"/>
      <c r="L7"/>
      <c r="M7"/>
      <c r="N7" s="40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6" x14ac:dyDescent="0.4">
      <c r="B8" s="63"/>
      <c r="C8" s="60" t="s">
        <v>13</v>
      </c>
      <c r="D8" s="61">
        <f>'Measure 1 Budget'!D14+'Measure 2 Budget'!D13+'Measure 3 Budget'!D13+'Measure 4 Budget'!D15</f>
        <v>0</v>
      </c>
      <c r="E8" s="61">
        <f>'Measure 1 Budget'!E14+'Measure 2 Budget'!E13+'Measure 3 Budget'!E13+'Measure 4 Budget'!E15</f>
        <v>0</v>
      </c>
      <c r="F8" s="61">
        <f>'Measure 1 Budget'!F14+'Measure 2 Budget'!F13+'Measure 3 Budget'!F13+'Measure 4 Budget'!F15</f>
        <v>0</v>
      </c>
      <c r="G8" s="61">
        <f>'Measure 1 Budget'!G14+'Measure 2 Budget'!G13+'Measure 3 Budget'!G13+'Measure 4 Budget'!G15</f>
        <v>0</v>
      </c>
      <c r="H8" s="61">
        <f>'Measure 1 Budget'!H14+'Measure 2 Budget'!H13+'Measure 3 Budget'!H13+'Measure 4 Budget'!H15</f>
        <v>0</v>
      </c>
      <c r="I8" s="62"/>
      <c r="J8" s="61">
        <f t="shared" ref="J8:J14" si="0">SUM(D8:I8)</f>
        <v>0</v>
      </c>
    </row>
    <row r="9" spans="2:39" ht="14.6" x14ac:dyDescent="0.4">
      <c r="B9" s="63"/>
      <c r="C9" s="60" t="s">
        <v>14</v>
      </c>
      <c r="D9" s="61">
        <f>'Measure 1 Budget'!D17+'Measure 2 Budget'!D16+'Measure 3 Budget'!D16+'Measure 4 Budget'!D18</f>
        <v>0</v>
      </c>
      <c r="E9" s="61">
        <f>'Measure 1 Budget'!E17+'Measure 2 Budget'!E16+'Measure 3 Budget'!E16+'Measure 4 Budget'!E18</f>
        <v>0</v>
      </c>
      <c r="F9" s="61">
        <f>'Measure 1 Budget'!F17+'Measure 2 Budget'!F16+'Measure 3 Budget'!F16+'Measure 4 Budget'!F18</f>
        <v>0</v>
      </c>
      <c r="G9" s="61">
        <f>'Measure 1 Budget'!G17+'Measure 2 Budget'!G16+'Measure 3 Budget'!G16+'Measure 4 Budget'!G18</f>
        <v>0</v>
      </c>
      <c r="H9" s="61">
        <f>'Measure 1 Budget'!H17+'Measure 2 Budget'!H16+'Measure 3 Budget'!H16+'Measure 4 Budget'!H18</f>
        <v>0</v>
      </c>
      <c r="I9" s="62"/>
      <c r="J9" s="61">
        <f t="shared" si="0"/>
        <v>0</v>
      </c>
    </row>
    <row r="10" spans="2:39" ht="14.6" x14ac:dyDescent="0.4">
      <c r="B10" s="63"/>
      <c r="C10" s="60" t="s">
        <v>15</v>
      </c>
      <c r="D10" s="61">
        <f>'Measure 1 Budget'!D20+'Measure 2 Budget'!D19+'Measure 3 Budget'!D19+'Measure 4 Budget'!D21</f>
        <v>0</v>
      </c>
      <c r="E10" s="61">
        <f>'Measure 1 Budget'!E20+'Measure 2 Budget'!E19+'Measure 3 Budget'!E19+'Measure 4 Budget'!E21</f>
        <v>0</v>
      </c>
      <c r="F10" s="61">
        <f>'Measure 1 Budget'!F20+'Measure 2 Budget'!F19+'Measure 3 Budget'!F19+'Measure 4 Budget'!F21</f>
        <v>0</v>
      </c>
      <c r="G10" s="61">
        <f>'Measure 1 Budget'!G20+'Measure 2 Budget'!G19+'Measure 3 Budget'!G19+'Measure 4 Budget'!G21</f>
        <v>0</v>
      </c>
      <c r="H10" s="61">
        <f>'Measure 1 Budget'!H20+'Measure 2 Budget'!H19+'Measure 3 Budget'!H19+'Measure 4 Budget'!H21</f>
        <v>0</v>
      </c>
      <c r="I10" s="62"/>
      <c r="J10" s="61">
        <f t="shared" si="0"/>
        <v>0</v>
      </c>
    </row>
    <row r="11" spans="2:39" ht="14.6" x14ac:dyDescent="0.4">
      <c r="B11" s="63"/>
      <c r="C11" s="60" t="s">
        <v>16</v>
      </c>
      <c r="D11" s="61">
        <f>'Measure 1 Budget'!D23+'Measure 2 Budget'!D22+'Measure 3 Budget'!D22+'Measure 4 Budget'!D24</f>
        <v>0</v>
      </c>
      <c r="E11" s="61">
        <f>'Measure 1 Budget'!E23+'Measure 2 Budget'!E22+'Measure 3 Budget'!E22+'Measure 4 Budget'!E24</f>
        <v>0</v>
      </c>
      <c r="F11" s="61">
        <f>'Measure 1 Budget'!F23+'Measure 2 Budget'!F22+'Measure 3 Budget'!F22+'Measure 4 Budget'!F24</f>
        <v>0</v>
      </c>
      <c r="G11" s="61">
        <f>'Measure 1 Budget'!G23+'Measure 2 Budget'!G22+'Measure 3 Budget'!G22+'Measure 4 Budget'!G24</f>
        <v>0</v>
      </c>
      <c r="H11" s="61">
        <f>'Measure 1 Budget'!H23+'Measure 2 Budget'!H22+'Measure 3 Budget'!H22+'Measure 4 Budget'!H24</f>
        <v>0</v>
      </c>
      <c r="I11" s="62"/>
      <c r="J11" s="61">
        <f t="shared" si="0"/>
        <v>0</v>
      </c>
    </row>
    <row r="12" spans="2:39" ht="14.6" x14ac:dyDescent="0.4">
      <c r="B12" s="63"/>
      <c r="C12" s="60" t="s">
        <v>17</v>
      </c>
      <c r="D12" s="61">
        <f>'Measure 1 Budget'!D29+'Measure 2 Budget'!D26+'Measure 3 Budget'!D28+'Measure 4 Budget'!D31</f>
        <v>4263325</v>
      </c>
      <c r="E12" s="61">
        <f>'Measure 1 Budget'!E29+'Measure 2 Budget'!E26+'Measure 3 Budget'!E28+'Measure 4 Budget'!E31</f>
        <v>6034375</v>
      </c>
      <c r="F12" s="61">
        <f>'Measure 1 Budget'!F29+'Measure 2 Budget'!F26+'Measure 3 Budget'!F28+'Measure 4 Budget'!F31</f>
        <v>11999250</v>
      </c>
      <c r="G12" s="61">
        <f>'Measure 1 Budget'!G29+'Measure 2 Budget'!G26+'Measure 3 Budget'!G28+'Measure 4 Budget'!G31</f>
        <v>11792000</v>
      </c>
      <c r="H12" s="61">
        <f>'Measure 1 Budget'!H29+'Measure 2 Budget'!H26+'Measure 3 Budget'!H28+'Measure 4 Budget'!H31</f>
        <v>9292000</v>
      </c>
      <c r="I12" s="62"/>
      <c r="J12" s="61">
        <f t="shared" si="0"/>
        <v>43380950</v>
      </c>
      <c r="M12" s="40"/>
    </row>
    <row r="13" spans="2:39" ht="14.6" x14ac:dyDescent="0.4">
      <c r="B13" s="63"/>
      <c r="C13" s="60" t="s">
        <v>18</v>
      </c>
      <c r="D13" s="61">
        <f>'Measure 1 Budget'!D32+'Measure 2 Budget'!D29+'Measure 3 Budget'!D31+'Measure 4 Budget'!D34</f>
        <v>0</v>
      </c>
      <c r="E13" s="61">
        <f>'Measure 1 Budget'!E32+'Measure 2 Budget'!E29+'Measure 3 Budget'!E31+'Measure 4 Budget'!E34</f>
        <v>0</v>
      </c>
      <c r="F13" s="61">
        <f>'Measure 1 Budget'!F32+'Measure 2 Budget'!F29+'Measure 3 Budget'!F31+'Measure 4 Budget'!F34</f>
        <v>0</v>
      </c>
      <c r="G13" s="61">
        <f>'Measure 1 Budget'!G32+'Measure 2 Budget'!G29+'Measure 3 Budget'!G31+'Measure 4 Budget'!G34</f>
        <v>0</v>
      </c>
      <c r="H13" s="61">
        <f>'Measure 1 Budget'!H32+'Measure 2 Budget'!H29+'Measure 3 Budget'!H31+'Measure 4 Budget'!H34</f>
        <v>0</v>
      </c>
      <c r="I13" s="62"/>
      <c r="J13" s="61">
        <f t="shared" si="0"/>
        <v>0</v>
      </c>
    </row>
    <row r="14" spans="2:39" ht="14.6" x14ac:dyDescent="0.4">
      <c r="B14" s="64"/>
      <c r="C14" s="14" t="s">
        <v>19</v>
      </c>
      <c r="D14" s="21">
        <f>D13+D12+D11+D10+D9+D8+D7</f>
        <v>4689657.4893416874</v>
      </c>
      <c r="E14" s="21">
        <f t="shared" ref="E14:H14" si="1">E13+E12+E11+E10+E9+E8+E7</f>
        <v>6637812.4849140625</v>
      </c>
      <c r="F14" s="21">
        <f t="shared" si="1"/>
        <v>13199174.970001874</v>
      </c>
      <c r="G14" s="21">
        <f t="shared" si="1"/>
        <v>12971199.970520001</v>
      </c>
      <c r="H14" s="21">
        <f t="shared" si="1"/>
        <v>10221199.976770001</v>
      </c>
      <c r="J14" s="21">
        <f t="shared" si="0"/>
        <v>47719044.89154762</v>
      </c>
    </row>
    <row r="15" spans="2:39" ht="14.6" x14ac:dyDescent="0.4">
      <c r="B15" s="79"/>
      <c r="D15"/>
      <c r="E15"/>
      <c r="H15"/>
      <c r="I15"/>
      <c r="J15" s="82" t="s">
        <v>20</v>
      </c>
    </row>
    <row r="16" spans="2:39" ht="20.149999999999999" customHeight="1" x14ac:dyDescent="0.4">
      <c r="B16" s="79"/>
      <c r="C16" s="14" t="s">
        <v>21</v>
      </c>
      <c r="D16" s="71">
        <f>'Measure 1 Budget'!D38+'Measure 2 Budget'!D35+'Measure 3 Budget'!D37+'Measure 4 Budget'!D42</f>
        <v>213166.24467084371</v>
      </c>
      <c r="E16" s="71">
        <f>'Measure 1 Budget'!E38+'Measure 2 Budget'!E35+'Measure 3 Budget'!E37+'Measure 4 Budget'!E42</f>
        <v>301718.74245703121</v>
      </c>
      <c r="F16" s="71">
        <f>'Measure 1 Budget'!F38+'Measure 2 Budget'!F35+'Measure 3 Budget'!F37+'Measure 4 Budget'!F42</f>
        <v>599962.48500093748</v>
      </c>
      <c r="G16" s="71">
        <f>'Measure 1 Budget'!G38+'Measure 2 Budget'!G35+'Measure 3 Budget'!G37+'Measure 4 Budget'!G42</f>
        <v>589599.98525999999</v>
      </c>
      <c r="H16" s="71">
        <f>'Measure 1 Budget'!H38+'Measure 2 Budget'!H35+'Measure 3 Budget'!H37+'Measure 4 Budget'!H42</f>
        <v>464599.98838499992</v>
      </c>
      <c r="J16" s="88">
        <f>SUM(D16:H16)</f>
        <v>2169047.4457738125</v>
      </c>
    </row>
    <row r="17" spans="2:13" thickBot="1" x14ac:dyDescent="0.45">
      <c r="B17" s="79"/>
      <c r="D17"/>
      <c r="E17"/>
      <c r="H17"/>
      <c r="I17"/>
      <c r="J17" s="82" t="s">
        <v>20</v>
      </c>
    </row>
    <row r="18" spans="2:13" ht="31" customHeight="1" thickBot="1" x14ac:dyDescent="0.45">
      <c r="B18" s="78" t="s">
        <v>22</v>
      </c>
      <c r="C18" s="65"/>
      <c r="D18" s="66">
        <f>D14+D16</f>
        <v>4902823.7340125311</v>
      </c>
      <c r="E18" s="66">
        <f>E14+E16</f>
        <v>6939531.2273710938</v>
      </c>
      <c r="F18" s="66">
        <f>F14+F16</f>
        <v>13799137.455002813</v>
      </c>
      <c r="G18" s="66">
        <f>G14+G16</f>
        <v>13560799.955780001</v>
      </c>
      <c r="H18" s="66">
        <f>H14+H16</f>
        <v>10685799.965155</v>
      </c>
      <c r="I18" s="67"/>
      <c r="J18" s="83">
        <f>J14+J16</f>
        <v>49888092.33732143</v>
      </c>
    </row>
    <row r="19" spans="2:13" s="1" customFormat="1" ht="14.6" x14ac:dyDescent="0.4">
      <c r="B19" s="51"/>
      <c r="C19"/>
      <c r="D19" s="51"/>
      <c r="E19" s="3"/>
      <c r="F19"/>
      <c r="G19"/>
      <c r="H19" s="3"/>
      <c r="I19" s="52"/>
      <c r="J19"/>
    </row>
    <row r="20" spans="2:13" ht="15" customHeight="1" x14ac:dyDescent="0.4">
      <c r="B20" s="51"/>
    </row>
    <row r="21" spans="2:13" ht="15" customHeight="1" x14ac:dyDescent="0.5">
      <c r="B21" s="53" t="s">
        <v>23</v>
      </c>
      <c r="C21" s="54"/>
      <c r="D21" s="54"/>
      <c r="E21" s="117"/>
      <c r="F21" s="117"/>
      <c r="H21"/>
      <c r="I21"/>
    </row>
    <row r="22" spans="2:13" ht="29.15" customHeight="1" x14ac:dyDescent="0.4">
      <c r="B22" s="55" t="s">
        <v>24</v>
      </c>
      <c r="C22" s="55" t="s">
        <v>25</v>
      </c>
      <c r="D22" s="68" t="s">
        <v>26</v>
      </c>
      <c r="E22" s="118" t="s">
        <v>27</v>
      </c>
      <c r="F22" s="118"/>
      <c r="H22"/>
      <c r="I22"/>
    </row>
    <row r="23" spans="2:13" ht="58.3" x14ac:dyDescent="0.4">
      <c r="B23" s="60">
        <v>1</v>
      </c>
      <c r="C23" s="69" t="s">
        <v>42</v>
      </c>
      <c r="D23" s="70">
        <f>'Measure 1 Budget'!J40</f>
        <v>11110149.96377125</v>
      </c>
      <c r="E23" s="116">
        <f>D23/D$29</f>
        <v>0.22270143922620417</v>
      </c>
      <c r="F23" s="116"/>
      <c r="H23"/>
      <c r="I23"/>
      <c r="J23" s="104"/>
      <c r="M23" s="40"/>
    </row>
    <row r="24" spans="2:13" ht="29.15" x14ac:dyDescent="0.4">
      <c r="B24" s="60">
        <v>2</v>
      </c>
      <c r="C24" s="61" t="s">
        <v>43</v>
      </c>
      <c r="D24" s="70">
        <f>'Measure 2 Budget'!J37</f>
        <v>574999.99812500004</v>
      </c>
      <c r="E24" s="116">
        <f t="shared" ref="E24:E27" si="2">D24/D$29</f>
        <v>1.1525796461349973E-2</v>
      </c>
      <c r="F24" s="116"/>
      <c r="H24"/>
      <c r="I24"/>
      <c r="J24" s="104"/>
    </row>
    <row r="25" spans="2:13" ht="14.6" x14ac:dyDescent="0.4">
      <c r="B25" s="60">
        <v>3</v>
      </c>
      <c r="C25" s="61" t="s">
        <v>44</v>
      </c>
      <c r="D25" s="70">
        <f>'Measure 3 Budget'!J39</f>
        <v>25111399.918114997</v>
      </c>
      <c r="E25" s="116">
        <f t="shared" si="2"/>
        <v>0.50335458306007597</v>
      </c>
      <c r="F25" s="116"/>
      <c r="H25"/>
      <c r="I25"/>
      <c r="J25" s="104"/>
    </row>
    <row r="26" spans="2:13" ht="29.15" x14ac:dyDescent="0.4">
      <c r="B26" s="60">
        <v>4</v>
      </c>
      <c r="C26" s="61" t="s">
        <v>65</v>
      </c>
      <c r="D26" s="70">
        <f>'Measure 4 Budget'!J44</f>
        <v>13091542.457310185</v>
      </c>
      <c r="E26" s="116">
        <f t="shared" si="2"/>
        <v>0.26241818125236999</v>
      </c>
      <c r="F26" s="116"/>
      <c r="H26"/>
      <c r="I26"/>
      <c r="J26" s="104"/>
    </row>
    <row r="27" spans="2:13" ht="14.6" x14ac:dyDescent="0.4">
      <c r="B27" s="60">
        <v>5</v>
      </c>
      <c r="C27" s="61"/>
      <c r="D27" s="70"/>
      <c r="E27" s="116">
        <f t="shared" si="2"/>
        <v>0</v>
      </c>
      <c r="F27" s="116"/>
      <c r="H27"/>
      <c r="I27"/>
      <c r="J27" s="103"/>
    </row>
    <row r="28" spans="2:13" ht="15" customHeight="1" x14ac:dyDescent="0.4">
      <c r="B28" s="60"/>
      <c r="C28" s="61"/>
      <c r="D28" s="70"/>
      <c r="E28" s="116"/>
      <c r="F28" s="116"/>
      <c r="H28"/>
      <c r="I28"/>
      <c r="J28" s="103"/>
    </row>
    <row r="29" spans="2:13" ht="15" customHeight="1" x14ac:dyDescent="0.4">
      <c r="B29" s="60" t="s">
        <v>28</v>
      </c>
      <c r="C29" s="61"/>
      <c r="D29" s="70">
        <f>SUM(D23:D28)</f>
        <v>49888092.33732143</v>
      </c>
      <c r="E29" s="116">
        <f t="shared" ref="E29" si="3">SUM(E23:E28)</f>
        <v>1</v>
      </c>
      <c r="F29" s="116"/>
      <c r="H29"/>
      <c r="I29"/>
      <c r="J29" s="103"/>
    </row>
    <row r="30" spans="2:13" ht="15" customHeight="1" x14ac:dyDescent="0.4">
      <c r="H30"/>
      <c r="I30"/>
    </row>
    <row r="31" spans="2:13" ht="15" customHeight="1" x14ac:dyDescent="0.4">
      <c r="D31" s="99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55"/>
  <sheetViews>
    <sheetView showGridLines="0" zoomScale="85" zoomScaleNormal="85" workbookViewId="0">
      <selection activeCell="M8" sqref="M8:P9"/>
    </sheetView>
  </sheetViews>
  <sheetFormatPr defaultColWidth="9.15234375" defaultRowHeight="14.6" x14ac:dyDescent="0.4"/>
  <cols>
    <col min="1" max="1" width="3.15234375" style="8" customWidth="1"/>
    <col min="2" max="2" width="10.15234375" style="8" customWidth="1"/>
    <col min="3" max="3" width="35.3828125" style="8" customWidth="1"/>
    <col min="4" max="4" width="12.3828125" style="11" customWidth="1"/>
    <col min="5" max="5" width="12.53515625" style="3" customWidth="1"/>
    <col min="6" max="6" width="12.3828125" style="8" customWidth="1"/>
    <col min="7" max="7" width="13" style="8" customWidth="1"/>
    <col min="8" max="8" width="12.3828125" style="3" customWidth="1"/>
    <col min="9" max="9" width="1.69140625" style="12" customWidth="1"/>
    <col min="10" max="10" width="12.84375" style="8" customWidth="1"/>
    <col min="11" max="11" width="13.53515625" style="8" bestFit="1" customWidth="1"/>
    <col min="12" max="12" width="3.53515625" style="8" bestFit="1" customWidth="1"/>
    <col min="13" max="15" width="10.3828125" style="8" bestFit="1" customWidth="1"/>
    <col min="16" max="16" width="8.84375" style="8" bestFit="1" customWidth="1"/>
    <col min="17" max="17" width="10.3828125" style="8" bestFit="1" customWidth="1"/>
    <col min="18" max="18" width="3.53515625" style="8" bestFit="1" customWidth="1"/>
    <col min="19" max="16384" width="9.15234375" style="8"/>
  </cols>
  <sheetData>
    <row r="2" spans="2:50" ht="48" customHeight="1" x14ac:dyDescent="0.6">
      <c r="B2" s="119" t="s">
        <v>60</v>
      </c>
      <c r="C2" s="119"/>
      <c r="D2" s="119"/>
      <c r="E2" s="119"/>
      <c r="F2" s="119"/>
      <c r="G2" s="119"/>
      <c r="H2" s="119"/>
      <c r="I2" s="119"/>
      <c r="J2" s="119"/>
    </row>
    <row r="3" spans="2:50" x14ac:dyDescent="0.4">
      <c r="B3" s="7" t="s">
        <v>29</v>
      </c>
    </row>
    <row r="4" spans="2:50" x14ac:dyDescent="0.4">
      <c r="B4" s="7"/>
    </row>
    <row r="5" spans="2:50" ht="18.45" x14ac:dyDescent="0.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4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29.15" x14ac:dyDescent="0.4">
      <c r="B7" s="84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43.75" x14ac:dyDescent="0.4">
      <c r="B8" s="28"/>
      <c r="C8" s="31" t="s">
        <v>56</v>
      </c>
      <c r="D8" s="20">
        <v>0</v>
      </c>
      <c r="E8" s="20">
        <f>133333.33*(0.15*SUM(E25:E26)/200000)</f>
        <v>9999.999749999999</v>
      </c>
      <c r="F8" s="20">
        <f t="shared" ref="F8:H8" si="0">133333.33*(0.15*SUM(F25:F26)/200000)</f>
        <v>49999.998749999999</v>
      </c>
      <c r="G8" s="20">
        <f t="shared" si="0"/>
        <v>364999.99087499996</v>
      </c>
      <c r="H8" s="20">
        <f t="shared" si="0"/>
        <v>114999.99712499999</v>
      </c>
      <c r="I8" s="41"/>
      <c r="J8" s="20">
        <f>SUM(D8:H8)</f>
        <v>539999.98649999988</v>
      </c>
      <c r="M8" s="102"/>
      <c r="N8" s="102"/>
      <c r="O8" s="102"/>
      <c r="P8" s="102"/>
      <c r="Q8" s="102"/>
    </row>
    <row r="9" spans="2:50" s="9" customFormat="1" ht="58.3" x14ac:dyDescent="0.4">
      <c r="B9" s="28"/>
      <c r="C9" s="31" t="s">
        <v>57</v>
      </c>
      <c r="D9" s="20">
        <v>0</v>
      </c>
      <c r="E9" s="20">
        <f>133333.33*(0.15*SUM(E27:E28)/200000)</f>
        <v>0</v>
      </c>
      <c r="F9" s="20">
        <f t="shared" ref="F9:H9" si="1">133333.33*(0.15*SUM(F27:F28)/200000)</f>
        <v>8699.9997824999991</v>
      </c>
      <c r="G9" s="20">
        <f t="shared" si="1"/>
        <v>208699.9947825</v>
      </c>
      <c r="H9" s="20">
        <f t="shared" si="1"/>
        <v>208699.9947825</v>
      </c>
      <c r="I9" s="12"/>
      <c r="J9" s="20">
        <f>SUM(D9:H9)</f>
        <v>426099.98934750003</v>
      </c>
      <c r="M9" s="102"/>
      <c r="N9" s="102"/>
      <c r="O9" s="102"/>
      <c r="P9" s="102"/>
    </row>
    <row r="10" spans="2:50" s="9" customFormat="1" x14ac:dyDescent="0.4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4">
      <c r="B11" s="28"/>
      <c r="C11" s="14" t="s">
        <v>12</v>
      </c>
      <c r="D11" s="21">
        <f>SUM(D8:D10)</f>
        <v>0</v>
      </c>
      <c r="E11" s="21">
        <f t="shared" ref="E11:J11" si="2">SUM(E8:E10)</f>
        <v>9999.999749999999</v>
      </c>
      <c r="F11" s="21">
        <f t="shared" si="2"/>
        <v>58699.998532500002</v>
      </c>
      <c r="G11" s="21">
        <f t="shared" si="2"/>
        <v>573699.98565749999</v>
      </c>
      <c r="H11" s="21">
        <f t="shared" si="2"/>
        <v>323699.99190749996</v>
      </c>
      <c r="I11" s="12"/>
      <c r="J11" s="21">
        <f t="shared" si="2"/>
        <v>966099.97584749991</v>
      </c>
      <c r="N11" s="92"/>
      <c r="O11" s="92"/>
      <c r="P11" s="92"/>
      <c r="Q11" s="92"/>
      <c r="R11" s="92"/>
      <c r="S11" s="92"/>
      <c r="T11" s="92"/>
    </row>
    <row r="12" spans="2:50" s="9" customFormat="1" x14ac:dyDescent="0.4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  <c r="P12" s="90"/>
    </row>
    <row r="13" spans="2:50" s="9" customFormat="1" x14ac:dyDescent="0.4">
      <c r="B13" s="28"/>
      <c r="C13" s="15"/>
      <c r="D13" s="20"/>
      <c r="E13" s="16"/>
      <c r="F13" s="16"/>
      <c r="G13" s="16"/>
      <c r="H13" s="16"/>
      <c r="I13" s="12"/>
      <c r="J13" s="20">
        <f t="shared" ref="J13" si="3">SUM(D13:H13)</f>
        <v>0</v>
      </c>
    </row>
    <row r="14" spans="2:50" s="9" customFormat="1" x14ac:dyDescent="0.4">
      <c r="B14" s="28"/>
      <c r="C14" s="14" t="s">
        <v>13</v>
      </c>
      <c r="D14" s="21">
        <f>SUM(D13:D13)</f>
        <v>0</v>
      </c>
      <c r="E14" s="21">
        <f>SUM(E13:E13)</f>
        <v>0</v>
      </c>
      <c r="F14" s="21">
        <f>SUM(F13:F13)</f>
        <v>0</v>
      </c>
      <c r="G14" s="21">
        <f>SUM(G13:G13)</f>
        <v>0</v>
      </c>
      <c r="H14" s="21">
        <f>SUM(H13:H13)</f>
        <v>0</v>
      </c>
      <c r="I14" s="12"/>
      <c r="J14" s="21">
        <f>SUM(J13:J13)</f>
        <v>0</v>
      </c>
    </row>
    <row r="15" spans="2:50" s="9" customFormat="1" x14ac:dyDescent="0.4">
      <c r="B15" s="28"/>
      <c r="C15" s="19" t="s">
        <v>33</v>
      </c>
      <c r="D15" s="18" t="s">
        <v>31</v>
      </c>
      <c r="E15" s="15"/>
      <c r="F15" s="15"/>
      <c r="G15" s="15"/>
      <c r="H15" s="15"/>
      <c r="I15" s="12"/>
      <c r="J15" s="13" t="s">
        <v>31</v>
      </c>
    </row>
    <row r="16" spans="2:50" s="9" customFormat="1" x14ac:dyDescent="0.4">
      <c r="B16" s="28"/>
      <c r="C16" s="35"/>
      <c r="D16" s="20"/>
      <c r="E16" s="16"/>
      <c r="F16" s="16"/>
      <c r="G16" s="16"/>
      <c r="H16" s="16"/>
      <c r="I16" s="12"/>
      <c r="J16" s="20">
        <f>SUM(D16:H16)</f>
        <v>0</v>
      </c>
    </row>
    <row r="17" spans="2:20" s="9" customFormat="1" x14ac:dyDescent="0.4">
      <c r="B17" s="28"/>
      <c r="C17" s="14" t="s">
        <v>14</v>
      </c>
      <c r="D17" s="21">
        <f>SUM(D15:D16)</f>
        <v>0</v>
      </c>
      <c r="E17" s="21">
        <f>SUM(E15:E16)</f>
        <v>0</v>
      </c>
      <c r="F17" s="21">
        <f>SUM(F15:F16)</f>
        <v>0</v>
      </c>
      <c r="G17" s="21">
        <f>SUM(G15:G16)</f>
        <v>0</v>
      </c>
      <c r="H17" s="21">
        <f>SUM(H15:H16)</f>
        <v>0</v>
      </c>
      <c r="I17" s="12"/>
      <c r="J17" s="21">
        <f>SUM(J16:J16)</f>
        <v>0</v>
      </c>
    </row>
    <row r="18" spans="2:20" s="9" customFormat="1" x14ac:dyDescent="0.4">
      <c r="B18" s="28"/>
      <c r="C18" s="19" t="s">
        <v>34</v>
      </c>
      <c r="D18" s="20"/>
      <c r="E18" s="15"/>
      <c r="F18" s="15"/>
      <c r="G18" s="15"/>
      <c r="H18" s="15"/>
      <c r="I18" s="12"/>
      <c r="J18" s="20" t="s">
        <v>20</v>
      </c>
    </row>
    <row r="19" spans="2:20" s="9" customFormat="1" x14ac:dyDescent="0.4">
      <c r="B19" s="28" t="s">
        <v>35</v>
      </c>
      <c r="C19" s="34" t="s">
        <v>35</v>
      </c>
      <c r="D19" s="18" t="s">
        <v>31</v>
      </c>
      <c r="E19" s="15"/>
      <c r="F19" s="15"/>
      <c r="G19" s="15"/>
      <c r="H19" s="15"/>
      <c r="I19" s="12"/>
      <c r="J19" s="20">
        <f t="shared" ref="J19:J31" si="4">SUM(D19:H19)</f>
        <v>0</v>
      </c>
    </row>
    <row r="20" spans="2:20" s="9" customFormat="1" x14ac:dyDescent="0.4">
      <c r="B20" s="28"/>
      <c r="C20" s="14" t="s">
        <v>15</v>
      </c>
      <c r="D20" s="17">
        <f>SUM(D19:D19)</f>
        <v>0</v>
      </c>
      <c r="E20" s="17">
        <f>SUM(E19:E19)</f>
        <v>0</v>
      </c>
      <c r="F20" s="17">
        <f>SUM(F19:F19)</f>
        <v>0</v>
      </c>
      <c r="G20" s="17">
        <f>SUM(G19:G19)</f>
        <v>0</v>
      </c>
      <c r="H20" s="17">
        <f>SUM(H19:H19)</f>
        <v>0</v>
      </c>
      <c r="I20" s="12"/>
      <c r="J20" s="21">
        <f>SUM(J19:J19)</f>
        <v>0</v>
      </c>
    </row>
    <row r="21" spans="2:20" s="9" customFormat="1" x14ac:dyDescent="0.4">
      <c r="B21" s="28"/>
      <c r="C21" s="19" t="s">
        <v>36</v>
      </c>
      <c r="D21" s="18" t="s">
        <v>31</v>
      </c>
      <c r="E21" s="15"/>
      <c r="F21" s="15"/>
      <c r="G21" s="15"/>
      <c r="H21" s="15"/>
      <c r="I21" s="12"/>
      <c r="J21" s="20"/>
    </row>
    <row r="22" spans="2:20" s="9" customFormat="1" x14ac:dyDescent="0.4">
      <c r="B22" s="28"/>
      <c r="C22" s="31"/>
      <c r="D22" s="20"/>
      <c r="E22" s="16"/>
      <c r="F22" s="16"/>
      <c r="G22" s="16"/>
      <c r="H22" s="16"/>
      <c r="I22" s="12"/>
      <c r="J22" s="20">
        <f t="shared" si="4"/>
        <v>0</v>
      </c>
      <c r="N22" s="93"/>
      <c r="O22" s="93"/>
      <c r="P22" s="93"/>
      <c r="Q22" s="93"/>
      <c r="R22" s="93"/>
      <c r="S22" s="91"/>
      <c r="T22" s="91"/>
    </row>
    <row r="23" spans="2:20" s="9" customFormat="1" x14ac:dyDescent="0.4">
      <c r="B23" s="28"/>
      <c r="C23" s="14" t="s">
        <v>16</v>
      </c>
      <c r="D23" s="21">
        <f>SUM(D22:D22)</f>
        <v>0</v>
      </c>
      <c r="E23" s="21">
        <f>SUM(E22:E22)</f>
        <v>0</v>
      </c>
      <c r="F23" s="21">
        <f>SUM(F22:F22)</f>
        <v>0</v>
      </c>
      <c r="G23" s="21">
        <f>SUM(G22:G22)</f>
        <v>0</v>
      </c>
      <c r="H23" s="21">
        <f>SUM(H22:H22)</f>
        <v>0</v>
      </c>
      <c r="I23" s="12"/>
      <c r="J23" s="21">
        <f>SUM(J22:J22)</f>
        <v>0</v>
      </c>
    </row>
    <row r="24" spans="2:20" s="9" customFormat="1" x14ac:dyDescent="0.4">
      <c r="B24" s="28"/>
      <c r="C24" s="19" t="s">
        <v>37</v>
      </c>
      <c r="D24" s="18" t="s">
        <v>31</v>
      </c>
      <c r="E24" s="15"/>
      <c r="F24" s="15"/>
      <c r="G24" s="15"/>
      <c r="H24" s="15"/>
      <c r="I24" s="12"/>
      <c r="J24" s="20"/>
    </row>
    <row r="25" spans="2:20" s="9" customFormat="1" x14ac:dyDescent="0.4">
      <c r="B25" s="28"/>
      <c r="C25" s="31" t="s">
        <v>53</v>
      </c>
      <c r="D25" s="20">
        <v>0</v>
      </c>
      <c r="E25" s="20">
        <v>100000</v>
      </c>
      <c r="F25" s="20">
        <v>500000</v>
      </c>
      <c r="G25" s="20">
        <v>250000</v>
      </c>
      <c r="H25" s="20">
        <v>150000</v>
      </c>
      <c r="I25" s="41"/>
      <c r="J25" s="20">
        <f>SUM(D25:H25)</f>
        <v>1000000</v>
      </c>
    </row>
    <row r="26" spans="2:20" s="9" customFormat="1" x14ac:dyDescent="0.4">
      <c r="B26" s="28"/>
      <c r="C26" s="31" t="s">
        <v>51</v>
      </c>
      <c r="D26" s="20">
        <v>0</v>
      </c>
      <c r="E26" s="20">
        <v>0</v>
      </c>
      <c r="F26" s="20">
        <v>0</v>
      </c>
      <c r="G26" s="20">
        <v>3400000</v>
      </c>
      <c r="H26" s="20">
        <v>1000000</v>
      </c>
      <c r="I26" s="41"/>
      <c r="J26" s="20">
        <f t="shared" si="4"/>
        <v>4400000</v>
      </c>
    </row>
    <row r="27" spans="2:20" s="9" customFormat="1" ht="29.15" x14ac:dyDescent="0.4">
      <c r="B27" s="28"/>
      <c r="C27" s="31" t="s">
        <v>54</v>
      </c>
      <c r="D27" s="20">
        <v>0</v>
      </c>
      <c r="E27" s="20">
        <v>0</v>
      </c>
      <c r="F27" s="20">
        <v>87000</v>
      </c>
      <c r="G27" s="20">
        <v>348000</v>
      </c>
      <c r="H27" s="20">
        <v>348000</v>
      </c>
      <c r="I27" s="41"/>
      <c r="J27" s="20">
        <f t="shared" si="4"/>
        <v>783000</v>
      </c>
    </row>
    <row r="28" spans="2:20" s="9" customFormat="1" x14ac:dyDescent="0.4">
      <c r="B28" s="28"/>
      <c r="C28" s="31" t="s">
        <v>52</v>
      </c>
      <c r="D28" s="20">
        <v>0</v>
      </c>
      <c r="E28" s="20">
        <v>0</v>
      </c>
      <c r="F28" s="50">
        <v>0</v>
      </c>
      <c r="G28" s="50">
        <v>1739000</v>
      </c>
      <c r="H28" s="50">
        <v>1739000</v>
      </c>
      <c r="I28" s="12"/>
      <c r="J28" s="20">
        <f t="shared" si="4"/>
        <v>3478000</v>
      </c>
    </row>
    <row r="29" spans="2:20" s="9" customFormat="1" x14ac:dyDescent="0.4">
      <c r="B29" s="28"/>
      <c r="C29" s="14" t="s">
        <v>17</v>
      </c>
      <c r="D29" s="21">
        <f>SUM(D25:D28)</f>
        <v>0</v>
      </c>
      <c r="E29" s="21">
        <f t="shared" ref="E29:H29" si="5">SUM(E25:E28)</f>
        <v>100000</v>
      </c>
      <c r="F29" s="21">
        <f>SUM(F25:F28)</f>
        <v>587000</v>
      </c>
      <c r="G29" s="21">
        <f t="shared" si="5"/>
        <v>5737000</v>
      </c>
      <c r="H29" s="21">
        <f t="shared" si="5"/>
        <v>3237000</v>
      </c>
      <c r="I29" s="12"/>
      <c r="J29" s="21">
        <f>SUM(J25:J28)</f>
        <v>9661000</v>
      </c>
    </row>
    <row r="30" spans="2:20" s="9" customFormat="1" x14ac:dyDescent="0.4">
      <c r="B30" s="28"/>
      <c r="C30" s="19" t="s">
        <v>38</v>
      </c>
      <c r="D30" s="18" t="s">
        <v>31</v>
      </c>
      <c r="E30" s="15"/>
      <c r="F30" s="15"/>
      <c r="G30" s="15"/>
      <c r="H30" s="15"/>
      <c r="I30" s="12"/>
      <c r="J30" s="20"/>
    </row>
    <row r="31" spans="2:20" s="9" customFormat="1" x14ac:dyDescent="0.4">
      <c r="B31" s="28"/>
      <c r="C31" s="15"/>
      <c r="D31" s="20"/>
      <c r="E31" s="16"/>
      <c r="F31" s="16"/>
      <c r="G31" s="16"/>
      <c r="H31" s="16"/>
      <c r="I31" s="12"/>
      <c r="J31" s="20">
        <f t="shared" si="4"/>
        <v>0</v>
      </c>
    </row>
    <row r="32" spans="2:20" s="9" customFormat="1" x14ac:dyDescent="0.4">
      <c r="B32" s="30"/>
      <c r="C32" s="14" t="s">
        <v>18</v>
      </c>
      <c r="D32" s="21">
        <f>SUM(D31:D31)</f>
        <v>0</v>
      </c>
      <c r="E32" s="21">
        <f>SUM(E31:E31)</f>
        <v>0</v>
      </c>
      <c r="F32" s="21">
        <f>SUM(F31:F31)</f>
        <v>0</v>
      </c>
      <c r="G32" s="21">
        <f>SUM(G31:G31)</f>
        <v>0</v>
      </c>
      <c r="H32" s="21">
        <f>SUM(H31:H31)</f>
        <v>0</v>
      </c>
      <c r="I32" s="12"/>
      <c r="J32" s="21">
        <f>SUM(J31:J31)</f>
        <v>0</v>
      </c>
    </row>
    <row r="33" spans="2:18" s="9" customFormat="1" x14ac:dyDescent="0.4">
      <c r="B33" s="30"/>
      <c r="C33" s="14" t="s">
        <v>19</v>
      </c>
      <c r="D33" s="21">
        <f>SUM(D32,D29,D23,D20,D17,D14,D11)</f>
        <v>0</v>
      </c>
      <c r="E33" s="21">
        <f>SUM(E32,E29,E23,E20,E17,E14,E11)</f>
        <v>109999.99975</v>
      </c>
      <c r="F33" s="21">
        <f>SUM(F32,F29,F23,F20,F17,F14,F11)</f>
        <v>645699.9985325</v>
      </c>
      <c r="G33" s="21">
        <f>SUM(G32,G29,G23,G20,G17,G14,G11)</f>
        <v>6310699.9856575001</v>
      </c>
      <c r="H33" s="21">
        <f>SUM(H32,H29,H23,H20,H17,H14,H11)</f>
        <v>3560699.9919074997</v>
      </c>
      <c r="I33" s="12"/>
      <c r="J33" s="21">
        <f>SUM(D33:H33)</f>
        <v>10627099.975847499</v>
      </c>
    </row>
    <row r="34" spans="2:18" s="9" customFormat="1" x14ac:dyDescent="0.4">
      <c r="B34" s="29"/>
      <c r="J34" s="9" t="s">
        <v>20</v>
      </c>
    </row>
    <row r="35" spans="2:18" s="9" customFormat="1" ht="29.15" x14ac:dyDescent="0.4">
      <c r="B35" s="84" t="s">
        <v>39</v>
      </c>
      <c r="C35" s="22" t="s">
        <v>39</v>
      </c>
      <c r="D35" s="23"/>
      <c r="E35" s="23"/>
      <c r="F35" s="23"/>
      <c r="G35" s="23"/>
      <c r="H35" s="23"/>
      <c r="J35" s="23" t="s">
        <v>20</v>
      </c>
    </row>
    <row r="36" spans="2:18" s="9" customFormat="1" ht="29.15" x14ac:dyDescent="0.4">
      <c r="B36" s="28"/>
      <c r="C36" s="31" t="s">
        <v>55</v>
      </c>
      <c r="D36" s="20">
        <f t="shared" ref="D36:H37" si="6">D8*0.5</f>
        <v>0</v>
      </c>
      <c r="E36" s="20">
        <f t="shared" si="6"/>
        <v>4999.9998749999995</v>
      </c>
      <c r="F36" s="20">
        <f t="shared" si="6"/>
        <v>24999.999374999999</v>
      </c>
      <c r="G36" s="20">
        <f t="shared" si="6"/>
        <v>182499.99543749998</v>
      </c>
      <c r="H36" s="20">
        <f t="shared" si="6"/>
        <v>57499.998562499997</v>
      </c>
      <c r="I36" s="12"/>
      <c r="J36" s="20">
        <f>SUM(D36:H36)</f>
        <v>269999.99324999994</v>
      </c>
    </row>
    <row r="37" spans="2:18" s="9" customFormat="1" ht="29.15" x14ac:dyDescent="0.4">
      <c r="B37" s="28"/>
      <c r="C37" s="31" t="s">
        <v>58</v>
      </c>
      <c r="D37" s="20">
        <f t="shared" si="6"/>
        <v>0</v>
      </c>
      <c r="E37" s="20">
        <f t="shared" si="6"/>
        <v>0</v>
      </c>
      <c r="F37" s="20">
        <f t="shared" si="6"/>
        <v>4349.9998912499996</v>
      </c>
      <c r="G37" s="20">
        <f t="shared" si="6"/>
        <v>104349.99739125</v>
      </c>
      <c r="H37" s="20">
        <f t="shared" si="6"/>
        <v>104349.99739125</v>
      </c>
      <c r="I37" s="12"/>
      <c r="J37" s="20">
        <f t="shared" ref="J37" si="7">SUM(D37:H37)</f>
        <v>213049.99467375001</v>
      </c>
    </row>
    <row r="38" spans="2:18" s="9" customFormat="1" x14ac:dyDescent="0.4">
      <c r="B38" s="30"/>
      <c r="C38" s="14" t="s">
        <v>21</v>
      </c>
      <c r="D38" s="21">
        <f>SUM(D36:D37)</f>
        <v>0</v>
      </c>
      <c r="E38" s="21">
        <f t="shared" ref="E38:H38" si="8">SUM(E36:E37)</f>
        <v>4999.9998749999995</v>
      </c>
      <c r="F38" s="21">
        <f t="shared" si="8"/>
        <v>29349.999266250001</v>
      </c>
      <c r="G38" s="21">
        <f t="shared" si="8"/>
        <v>286849.99282874999</v>
      </c>
      <c r="H38" s="21">
        <f t="shared" si="8"/>
        <v>161849.99595374998</v>
      </c>
      <c r="I38" s="12"/>
      <c r="J38" s="21">
        <f>SUM(J36:J37)</f>
        <v>483049.98792374996</v>
      </c>
      <c r="L38" s="102"/>
      <c r="M38" s="102"/>
      <c r="N38" s="102"/>
      <c r="O38" s="102"/>
      <c r="P38" s="102"/>
      <c r="Q38" s="102"/>
      <c r="R38" s="102"/>
    </row>
    <row r="39" spans="2:18" s="9" customFormat="1" ht="15" thickBot="1" x14ac:dyDescent="0.45">
      <c r="B39" s="29"/>
      <c r="J39" s="9" t="s">
        <v>20</v>
      </c>
    </row>
    <row r="40" spans="2:18" s="6" customFormat="1" ht="29.6" thickBot="1" x14ac:dyDescent="0.45">
      <c r="B40" s="24" t="s">
        <v>22</v>
      </c>
      <c r="C40" s="24"/>
      <c r="D40" s="25">
        <f>SUM(D38,D33)</f>
        <v>0</v>
      </c>
      <c r="E40" s="25">
        <f t="shared" ref="E40:H40" si="9">SUM(E38,E33)</f>
        <v>114999.999625</v>
      </c>
      <c r="F40" s="25">
        <f t="shared" si="9"/>
        <v>675049.99779874994</v>
      </c>
      <c r="G40" s="25">
        <f t="shared" si="9"/>
        <v>6597549.9784862502</v>
      </c>
      <c r="H40" s="25">
        <f t="shared" si="9"/>
        <v>3722549.9878612496</v>
      </c>
      <c r="I40" s="12"/>
      <c r="J40" s="25">
        <f>SUM(J38,J33)</f>
        <v>11110149.96377125</v>
      </c>
    </row>
    <row r="41" spans="2:18" x14ac:dyDescent="0.4">
      <c r="B41" s="11"/>
    </row>
    <row r="42" spans="2:18" x14ac:dyDescent="0.4">
      <c r="B42" s="11"/>
    </row>
    <row r="43" spans="2:18" x14ac:dyDescent="0.4">
      <c r="B43" s="11"/>
      <c r="D43" s="94"/>
      <c r="E43" s="94"/>
      <c r="F43" s="94"/>
      <c r="G43" s="94"/>
      <c r="J43" s="95"/>
    </row>
    <row r="44" spans="2:18" x14ac:dyDescent="0.4">
      <c r="B44" s="11"/>
    </row>
    <row r="45" spans="2:18" x14ac:dyDescent="0.4">
      <c r="B45" s="11"/>
    </row>
    <row r="46" spans="2:18" x14ac:dyDescent="0.4">
      <c r="B46" s="11"/>
      <c r="D46" s="94"/>
      <c r="E46" s="94"/>
      <c r="F46" s="94"/>
      <c r="G46" s="94"/>
      <c r="H46" s="94"/>
      <c r="I46" s="94"/>
      <c r="J46" s="94"/>
      <c r="K46" s="95"/>
    </row>
    <row r="47" spans="2:18" x14ac:dyDescent="0.4">
      <c r="B47" s="11"/>
    </row>
    <row r="48" spans="2:18" x14ac:dyDescent="0.4">
      <c r="B48" s="11"/>
    </row>
    <row r="49" spans="2:2" x14ac:dyDescent="0.4">
      <c r="B49" s="11"/>
    </row>
    <row r="50" spans="2:2" x14ac:dyDescent="0.4">
      <c r="B50" s="11"/>
    </row>
    <row r="51" spans="2:2" x14ac:dyDescent="0.4">
      <c r="B51" s="11"/>
    </row>
    <row r="52" spans="2:2" x14ac:dyDescent="0.4">
      <c r="B52" s="11"/>
    </row>
    <row r="53" spans="2:2" x14ac:dyDescent="0.4">
      <c r="B53" s="11"/>
    </row>
    <row r="54" spans="2:2" x14ac:dyDescent="0.4">
      <c r="B54" s="11"/>
    </row>
    <row r="55" spans="2:2" x14ac:dyDescent="0.4">
      <c r="B55" s="11"/>
    </row>
  </sheetData>
  <mergeCells count="1">
    <mergeCell ref="B2:J2"/>
  </mergeCells>
  <pageMargins left="0.7" right="0.7" top="0.75" bottom="0.75" header="0.3" footer="0.3"/>
  <pageSetup scale="97" fitToHeight="0" orientation="landscape" r:id="rId1"/>
  <ignoredErrors>
    <ignoredError sqref="J26:J27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52"/>
  <sheetViews>
    <sheetView showGridLines="0" zoomScale="85" zoomScaleNormal="85" workbookViewId="0">
      <selection activeCell="I1" sqref="I1:I1048576"/>
    </sheetView>
  </sheetViews>
  <sheetFormatPr defaultColWidth="9.15234375" defaultRowHeight="14.6" x14ac:dyDescent="0.4"/>
  <cols>
    <col min="1" max="1" width="3.15234375" style="8" customWidth="1"/>
    <col min="2" max="2" width="9.69140625" style="8" customWidth="1"/>
    <col min="3" max="3" width="44.3828125" style="8" customWidth="1"/>
    <col min="4" max="4" width="12.84375" style="11" customWidth="1"/>
    <col min="5" max="5" width="12.3828125" style="3" customWidth="1"/>
    <col min="6" max="6" width="12.69140625" style="8" customWidth="1"/>
    <col min="7" max="7" width="12.84375" style="8" customWidth="1"/>
    <col min="8" max="8" width="13.3828125" style="3" customWidth="1"/>
    <col min="9" max="9" width="0.84375" style="12" customWidth="1"/>
    <col min="10" max="10" width="14.3828125" style="8" customWidth="1"/>
    <col min="11" max="11" width="10.15234375" style="8" customWidth="1"/>
    <col min="12" max="16384" width="9.15234375" style="8"/>
  </cols>
  <sheetData>
    <row r="2" spans="2:50" ht="23.15" x14ac:dyDescent="0.6">
      <c r="B2" s="36" t="s">
        <v>61</v>
      </c>
    </row>
    <row r="3" spans="2:50" x14ac:dyDescent="0.4">
      <c r="B3" s="7" t="s">
        <v>29</v>
      </c>
    </row>
    <row r="4" spans="2:50" x14ac:dyDescent="0.4">
      <c r="B4" s="7"/>
    </row>
    <row r="5" spans="2:50" ht="18.45" x14ac:dyDescent="0.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9.15" x14ac:dyDescent="0.4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4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29.15" x14ac:dyDescent="0.4">
      <c r="B8" s="28"/>
      <c r="C8" s="31" t="s">
        <v>50</v>
      </c>
      <c r="D8" s="20">
        <f>133333.33*(0.15*SUM(D24)/200000)</f>
        <v>9999.999749999999</v>
      </c>
      <c r="E8" s="20">
        <f t="shared" ref="E8:H8" si="0">133333.33*(0.15*SUM(E24)/200000)</f>
        <v>9999.999749999999</v>
      </c>
      <c r="F8" s="20">
        <f t="shared" si="0"/>
        <v>9999.999749999999</v>
      </c>
      <c r="G8" s="20">
        <f t="shared" si="0"/>
        <v>9999.999749999999</v>
      </c>
      <c r="H8" s="20">
        <f t="shared" si="0"/>
        <v>9999.999749999999</v>
      </c>
      <c r="I8" s="41"/>
      <c r="J8" s="20">
        <f>SUM(D8:H8)</f>
        <v>49999.998749999999</v>
      </c>
    </row>
    <row r="9" spans="2:50" s="9" customFormat="1" x14ac:dyDescent="0.4">
      <c r="B9" s="28"/>
      <c r="C9" s="33"/>
      <c r="D9" s="20"/>
      <c r="E9" s="16"/>
      <c r="F9" s="16"/>
      <c r="G9" s="16"/>
      <c r="H9" s="16"/>
      <c r="I9" s="12"/>
      <c r="J9" s="20">
        <f>SUM(D9:H9)</f>
        <v>0</v>
      </c>
    </row>
    <row r="10" spans="2:50" s="9" customFormat="1" x14ac:dyDescent="0.4">
      <c r="B10" s="28"/>
      <c r="C10" s="14" t="s">
        <v>12</v>
      </c>
      <c r="D10" s="21">
        <f t="shared" ref="D10:J10" si="1">SUM(D8:D9)</f>
        <v>9999.999749999999</v>
      </c>
      <c r="E10" s="21">
        <f t="shared" si="1"/>
        <v>9999.999749999999</v>
      </c>
      <c r="F10" s="21">
        <f t="shared" si="1"/>
        <v>9999.999749999999</v>
      </c>
      <c r="G10" s="21">
        <f t="shared" si="1"/>
        <v>9999.999749999999</v>
      </c>
      <c r="H10" s="21">
        <f t="shared" si="1"/>
        <v>9999.999749999999</v>
      </c>
      <c r="I10" s="12"/>
      <c r="J10" s="21">
        <f t="shared" si="1"/>
        <v>49999.998749999999</v>
      </c>
    </row>
    <row r="11" spans="2:50" s="9" customFormat="1" x14ac:dyDescent="0.4">
      <c r="B11" s="28"/>
      <c r="C11" s="19" t="s">
        <v>32</v>
      </c>
      <c r="D11" s="18" t="s">
        <v>31</v>
      </c>
      <c r="E11" s="15"/>
      <c r="F11" s="15"/>
      <c r="G11" s="15"/>
      <c r="H11" s="15"/>
      <c r="I11" s="12"/>
      <c r="J11" s="13" t="s">
        <v>31</v>
      </c>
    </row>
    <row r="12" spans="2:50" s="9" customFormat="1" x14ac:dyDescent="0.4">
      <c r="B12" s="28"/>
      <c r="C12" s="31"/>
      <c r="D12" s="20"/>
      <c r="E12" s="20"/>
      <c r="F12" s="20"/>
      <c r="G12" s="20"/>
      <c r="H12" s="20"/>
      <c r="I12" s="12"/>
      <c r="J12" s="20">
        <f>SUM(D12:H12)</f>
        <v>0</v>
      </c>
    </row>
    <row r="13" spans="2:50" s="9" customFormat="1" x14ac:dyDescent="0.4">
      <c r="B13" s="28"/>
      <c r="C13" s="14" t="s">
        <v>13</v>
      </c>
      <c r="D13" s="21">
        <f t="shared" ref="D13:J13" si="2">SUM(D12:D12)</f>
        <v>0</v>
      </c>
      <c r="E13" s="21">
        <f t="shared" si="2"/>
        <v>0</v>
      </c>
      <c r="F13" s="21">
        <f t="shared" si="2"/>
        <v>0</v>
      </c>
      <c r="G13" s="21">
        <f t="shared" si="2"/>
        <v>0</v>
      </c>
      <c r="H13" s="21">
        <f t="shared" si="2"/>
        <v>0</v>
      </c>
      <c r="I13" s="12"/>
      <c r="J13" s="21">
        <f t="shared" si="2"/>
        <v>0</v>
      </c>
    </row>
    <row r="14" spans="2:50" s="9" customFormat="1" x14ac:dyDescent="0.4">
      <c r="B14" s="28"/>
      <c r="C14" s="19" t="s">
        <v>33</v>
      </c>
      <c r="D14" s="18" t="s">
        <v>31</v>
      </c>
      <c r="E14" s="15"/>
      <c r="F14" s="15"/>
      <c r="G14" s="15"/>
      <c r="H14" s="15"/>
      <c r="I14" s="12"/>
      <c r="J14" s="13" t="s">
        <v>31</v>
      </c>
    </row>
    <row r="15" spans="2:50" s="9" customFormat="1" x14ac:dyDescent="0.4">
      <c r="B15" s="28"/>
      <c r="C15" s="31"/>
      <c r="D15" s="20"/>
      <c r="E15" s="20"/>
      <c r="F15" s="20"/>
      <c r="G15" s="20"/>
      <c r="H15" s="20"/>
      <c r="I15" s="41"/>
      <c r="J15" s="20">
        <f t="shared" ref="J15" si="3">SUM(D15:H15)</f>
        <v>0</v>
      </c>
    </row>
    <row r="16" spans="2:50" s="9" customFormat="1" x14ac:dyDescent="0.4">
      <c r="B16" s="28"/>
      <c r="C16" s="14" t="s">
        <v>14</v>
      </c>
      <c r="D16" s="21">
        <f>SUM(D15:D15)</f>
        <v>0</v>
      </c>
      <c r="E16" s="21">
        <f>SUM(E15:E15)</f>
        <v>0</v>
      </c>
      <c r="F16" s="21">
        <f>SUM(F15:F15)</f>
        <v>0</v>
      </c>
      <c r="G16" s="21">
        <f>SUM(G15:G15)</f>
        <v>0</v>
      </c>
      <c r="H16" s="21">
        <f>SUM(H15:H15)</f>
        <v>0</v>
      </c>
      <c r="I16" s="12"/>
      <c r="J16" s="21">
        <f>SUM(J15:J15)</f>
        <v>0</v>
      </c>
    </row>
    <row r="17" spans="2:10" s="9" customFormat="1" x14ac:dyDescent="0.4">
      <c r="B17" s="28"/>
      <c r="C17" s="19" t="s">
        <v>34</v>
      </c>
      <c r="D17" s="20"/>
      <c r="E17" s="15"/>
      <c r="F17" s="15"/>
      <c r="G17" s="15"/>
      <c r="H17" s="15"/>
      <c r="I17" s="12"/>
      <c r="J17" s="20" t="s">
        <v>20</v>
      </c>
    </row>
    <row r="18" spans="2:10" s="9" customFormat="1" x14ac:dyDescent="0.4">
      <c r="B18" s="28" t="s">
        <v>35</v>
      </c>
      <c r="C18" s="34" t="s">
        <v>35</v>
      </c>
      <c r="D18" s="18" t="s">
        <v>31</v>
      </c>
      <c r="E18" s="15"/>
      <c r="F18" s="15"/>
      <c r="G18" s="15"/>
      <c r="H18" s="15"/>
      <c r="I18" s="12"/>
      <c r="J18" s="20">
        <f t="shared" ref="J18:J30" si="4">SUM(D18:H18)</f>
        <v>0</v>
      </c>
    </row>
    <row r="19" spans="2:10" s="9" customFormat="1" x14ac:dyDescent="0.4">
      <c r="B19" s="28"/>
      <c r="C19" s="14" t="s">
        <v>15</v>
      </c>
      <c r="D19" s="17">
        <f>SUM(D18:D18)</f>
        <v>0</v>
      </c>
      <c r="E19" s="17">
        <f>SUM(E18:E18)</f>
        <v>0</v>
      </c>
      <c r="F19" s="17">
        <f>SUM(F18:F18)</f>
        <v>0</v>
      </c>
      <c r="G19" s="17">
        <f>SUM(G18:G18)</f>
        <v>0</v>
      </c>
      <c r="H19" s="17">
        <f>SUM(H18:H18)</f>
        <v>0</v>
      </c>
      <c r="I19" s="12"/>
      <c r="J19" s="21">
        <f>SUM(J18:J18)</f>
        <v>0</v>
      </c>
    </row>
    <row r="20" spans="2:10" s="9" customFormat="1" x14ac:dyDescent="0.4">
      <c r="B20" s="28"/>
      <c r="C20" s="19" t="s">
        <v>36</v>
      </c>
      <c r="D20" s="18" t="s">
        <v>31</v>
      </c>
      <c r="E20" s="15"/>
      <c r="F20" s="15"/>
      <c r="G20" s="15"/>
      <c r="H20" s="15"/>
      <c r="I20" s="12"/>
      <c r="J20" s="20"/>
    </row>
    <row r="21" spans="2:10" s="9" customFormat="1" x14ac:dyDescent="0.4">
      <c r="B21" s="28"/>
      <c r="C21" s="31"/>
      <c r="D21" s="20"/>
      <c r="E21" s="16"/>
      <c r="F21" s="16"/>
      <c r="G21" s="16"/>
      <c r="H21" s="16"/>
      <c r="I21" s="12"/>
      <c r="J21" s="20">
        <f t="shared" si="4"/>
        <v>0</v>
      </c>
    </row>
    <row r="22" spans="2:10" s="9" customFormat="1" x14ac:dyDescent="0.4">
      <c r="B22" s="28"/>
      <c r="C22" s="14" t="s">
        <v>16</v>
      </c>
      <c r="D22" s="21">
        <f>SUM(D21:D21)</f>
        <v>0</v>
      </c>
      <c r="E22" s="21">
        <f>SUM(E21:E21)</f>
        <v>0</v>
      </c>
      <c r="F22" s="21">
        <f>SUM(F21:F21)</f>
        <v>0</v>
      </c>
      <c r="G22" s="21">
        <f>SUM(G21:G21)</f>
        <v>0</v>
      </c>
      <c r="H22" s="21">
        <f>SUM(H21:H21)</f>
        <v>0</v>
      </c>
      <c r="I22" s="12"/>
      <c r="J22" s="21">
        <f>SUM(J21:J21)</f>
        <v>0</v>
      </c>
    </row>
    <row r="23" spans="2:10" s="9" customFormat="1" x14ac:dyDescent="0.4">
      <c r="B23" s="28"/>
      <c r="C23" s="19" t="s">
        <v>37</v>
      </c>
      <c r="D23" s="18" t="s">
        <v>31</v>
      </c>
      <c r="E23" s="15"/>
      <c r="F23" s="15"/>
      <c r="G23" s="15"/>
      <c r="H23" s="15"/>
      <c r="I23" s="12"/>
      <c r="J23" s="20"/>
    </row>
    <row r="24" spans="2:10" s="9" customFormat="1" ht="29.15" x14ac:dyDescent="0.4">
      <c r="B24" s="28"/>
      <c r="C24" s="72" t="s">
        <v>47</v>
      </c>
      <c r="D24" s="20">
        <f>5000*20</f>
        <v>100000</v>
      </c>
      <c r="E24" s="20">
        <f t="shared" ref="E24:H24" si="5">5000*20</f>
        <v>100000</v>
      </c>
      <c r="F24" s="20">
        <f t="shared" si="5"/>
        <v>100000</v>
      </c>
      <c r="G24" s="20">
        <f t="shared" si="5"/>
        <v>100000</v>
      </c>
      <c r="H24" s="20">
        <f t="shared" si="5"/>
        <v>100000</v>
      </c>
      <c r="I24" s="41"/>
      <c r="J24" s="20">
        <f t="shared" si="4"/>
        <v>500000</v>
      </c>
    </row>
    <row r="25" spans="2:10" s="9" customFormat="1" x14ac:dyDescent="0.4">
      <c r="B25" s="28"/>
      <c r="C25" s="31"/>
      <c r="D25" s="20"/>
      <c r="E25" s="16"/>
      <c r="F25" s="16"/>
      <c r="G25" s="16"/>
      <c r="H25" s="16"/>
      <c r="I25" s="12"/>
      <c r="J25" s="20">
        <f t="shared" si="4"/>
        <v>0</v>
      </c>
    </row>
    <row r="26" spans="2:10" s="9" customFormat="1" x14ac:dyDescent="0.4">
      <c r="B26" s="28"/>
      <c r="C26" s="14" t="s">
        <v>17</v>
      </c>
      <c r="D26" s="21">
        <f>SUM(D24:D25)</f>
        <v>100000</v>
      </c>
      <c r="E26" s="21">
        <f>SUM(E24:E25)</f>
        <v>100000</v>
      </c>
      <c r="F26" s="21">
        <f>SUM(F24:F25)</f>
        <v>100000</v>
      </c>
      <c r="G26" s="21">
        <f>SUM(G24:G25)</f>
        <v>100000</v>
      </c>
      <c r="H26" s="21">
        <f>SUM(H24:H25)</f>
        <v>100000</v>
      </c>
      <c r="I26" s="12"/>
      <c r="J26" s="21">
        <f>SUM(J24:J25)</f>
        <v>500000</v>
      </c>
    </row>
    <row r="27" spans="2:10" s="9" customFormat="1" x14ac:dyDescent="0.4">
      <c r="B27" s="28"/>
      <c r="C27" s="19" t="s">
        <v>38</v>
      </c>
      <c r="D27" s="18" t="s">
        <v>31</v>
      </c>
      <c r="E27" s="15"/>
      <c r="F27" s="15"/>
      <c r="G27" s="15"/>
      <c r="H27" s="15"/>
      <c r="I27" s="12"/>
      <c r="J27" s="20"/>
    </row>
    <row r="28" spans="2:10" s="9" customFormat="1" x14ac:dyDescent="0.4">
      <c r="B28" s="28"/>
      <c r="C28" s="31"/>
      <c r="D28" s="20"/>
      <c r="E28" s="20"/>
      <c r="F28" s="20"/>
      <c r="G28" s="20"/>
      <c r="H28" s="20"/>
      <c r="I28" s="41"/>
      <c r="J28" s="20">
        <f t="shared" si="4"/>
        <v>0</v>
      </c>
    </row>
    <row r="29" spans="2:10" s="9" customFormat="1" x14ac:dyDescent="0.4">
      <c r="B29" s="30"/>
      <c r="C29" s="14" t="s">
        <v>18</v>
      </c>
      <c r="D29" s="21">
        <f>SUM(D28:D28)</f>
        <v>0</v>
      </c>
      <c r="E29" s="21">
        <f>SUM(E28:E28)</f>
        <v>0</v>
      </c>
      <c r="F29" s="21">
        <f>SUM(F28:F28)</f>
        <v>0</v>
      </c>
      <c r="G29" s="21">
        <f>SUM(G28:G28)</f>
        <v>0</v>
      </c>
      <c r="H29" s="21">
        <f>SUM(H28:H28)</f>
        <v>0</v>
      </c>
      <c r="I29" s="12"/>
      <c r="J29" s="21">
        <f>SUM(J28:J28)</f>
        <v>0</v>
      </c>
    </row>
    <row r="30" spans="2:10" s="9" customFormat="1" x14ac:dyDescent="0.4">
      <c r="B30" s="30"/>
      <c r="C30" s="14" t="s">
        <v>19</v>
      </c>
      <c r="D30" s="21">
        <f>SUM(D29,D26,D22,D19,D16,D13,D10)</f>
        <v>109999.99975</v>
      </c>
      <c r="E30" s="21">
        <f>SUM(E29,E26,E22,E19,E16,E13,E10)</f>
        <v>109999.99975</v>
      </c>
      <c r="F30" s="21">
        <f>SUM(F29,F26,F22,F19,F16,F13,F10)</f>
        <v>109999.99975</v>
      </c>
      <c r="G30" s="21">
        <f>SUM(G29,G26,G22,G19,G16,G13,G10)</f>
        <v>109999.99975</v>
      </c>
      <c r="H30" s="21">
        <f>SUM(H29,H26,H22,H19,H16,H13,H10)</f>
        <v>109999.99975</v>
      </c>
      <c r="I30" s="12"/>
      <c r="J30" s="21">
        <f t="shared" si="4"/>
        <v>549999.99875000003</v>
      </c>
    </row>
    <row r="31" spans="2:10" s="9" customFormat="1" x14ac:dyDescent="0.4">
      <c r="B31" s="29"/>
      <c r="J31" s="9" t="s">
        <v>20</v>
      </c>
    </row>
    <row r="32" spans="2:10" s="9" customFormat="1" x14ac:dyDescent="0.4">
      <c r="B32" s="27" t="s">
        <v>39</v>
      </c>
      <c r="C32" s="22" t="s">
        <v>39</v>
      </c>
      <c r="D32" s="23"/>
      <c r="E32" s="23"/>
      <c r="F32" s="23"/>
      <c r="G32" s="23"/>
      <c r="H32" s="23"/>
      <c r="J32" s="23" t="s">
        <v>20</v>
      </c>
    </row>
    <row r="33" spans="2:10" s="9" customFormat="1" x14ac:dyDescent="0.4">
      <c r="B33" s="28"/>
      <c r="C33" s="31" t="s">
        <v>48</v>
      </c>
      <c r="D33" s="87">
        <f>D10*0.5</f>
        <v>4999.9998749999995</v>
      </c>
      <c r="E33" s="87">
        <f>E10*0.5</f>
        <v>4999.9998749999995</v>
      </c>
      <c r="F33" s="87">
        <f>F10*0.5</f>
        <v>4999.9998749999995</v>
      </c>
      <c r="G33" s="87">
        <f>G10*0.5</f>
        <v>4999.9998749999995</v>
      </c>
      <c r="H33" s="87">
        <f>H10*0.5</f>
        <v>4999.9998749999995</v>
      </c>
      <c r="I33" s="12"/>
      <c r="J33" s="20">
        <f>SUM(D33:H33)</f>
        <v>24999.999374999999</v>
      </c>
    </row>
    <row r="34" spans="2:10" s="9" customFormat="1" x14ac:dyDescent="0.4">
      <c r="B34" s="28"/>
      <c r="C34" s="31"/>
      <c r="D34" s="18"/>
      <c r="E34" s="15"/>
      <c r="F34" s="15"/>
      <c r="G34" s="15"/>
      <c r="H34" s="15"/>
      <c r="I34" s="12"/>
      <c r="J34" s="20">
        <f t="shared" ref="J34:J35" si="6">SUM(D34:H34)</f>
        <v>0</v>
      </c>
    </row>
    <row r="35" spans="2:10" s="9" customFormat="1" x14ac:dyDescent="0.4">
      <c r="B35" s="30"/>
      <c r="C35" s="14" t="s">
        <v>21</v>
      </c>
      <c r="D35" s="21">
        <f>SUM(D33:D34)</f>
        <v>4999.9998749999995</v>
      </c>
      <c r="E35" s="21">
        <f t="shared" ref="E35:H35" si="7">SUM(E33:E34)</f>
        <v>4999.9998749999995</v>
      </c>
      <c r="F35" s="21">
        <f t="shared" si="7"/>
        <v>4999.9998749999995</v>
      </c>
      <c r="G35" s="21">
        <f t="shared" si="7"/>
        <v>4999.9998749999995</v>
      </c>
      <c r="H35" s="21">
        <f t="shared" si="7"/>
        <v>4999.9998749999995</v>
      </c>
      <c r="I35" s="12"/>
      <c r="J35" s="21">
        <f t="shared" si="6"/>
        <v>24999.999374999999</v>
      </c>
    </row>
    <row r="36" spans="2:10" s="9" customFormat="1" ht="15" thickBot="1" x14ac:dyDescent="0.45">
      <c r="B36" s="29"/>
      <c r="J36" s="9" t="s">
        <v>20</v>
      </c>
    </row>
    <row r="37" spans="2:10" s="6" customFormat="1" ht="29.6" thickBot="1" x14ac:dyDescent="0.45">
      <c r="B37" s="24" t="s">
        <v>22</v>
      </c>
      <c r="C37" s="24"/>
      <c r="D37" s="25">
        <f>SUM(D35,D30)</f>
        <v>114999.999625</v>
      </c>
      <c r="E37" s="25">
        <f t="shared" ref="E37:J37" si="8">SUM(E35,E30)</f>
        <v>114999.999625</v>
      </c>
      <c r="F37" s="25">
        <f t="shared" si="8"/>
        <v>114999.999625</v>
      </c>
      <c r="G37" s="25">
        <f t="shared" si="8"/>
        <v>114999.999625</v>
      </c>
      <c r="H37" s="25">
        <f t="shared" si="8"/>
        <v>114999.999625</v>
      </c>
      <c r="I37" s="12"/>
      <c r="J37" s="25">
        <f t="shared" si="8"/>
        <v>574999.99812500004</v>
      </c>
    </row>
    <row r="38" spans="2:10" x14ac:dyDescent="0.4">
      <c r="B38" s="11"/>
    </row>
    <row r="39" spans="2:10" x14ac:dyDescent="0.4">
      <c r="B39" s="11"/>
    </row>
    <row r="40" spans="2:10" x14ac:dyDescent="0.4">
      <c r="B40" s="11"/>
    </row>
    <row r="41" spans="2:10" x14ac:dyDescent="0.4">
      <c r="B41" s="11"/>
    </row>
    <row r="42" spans="2:10" x14ac:dyDescent="0.4">
      <c r="B42" s="11"/>
    </row>
    <row r="43" spans="2:10" x14ac:dyDescent="0.4">
      <c r="B43" s="11"/>
      <c r="D43" s="100"/>
    </row>
    <row r="44" spans="2:10" x14ac:dyDescent="0.4">
      <c r="B44" s="11"/>
    </row>
    <row r="45" spans="2:10" x14ac:dyDescent="0.4">
      <c r="B45" s="11"/>
    </row>
    <row r="46" spans="2:10" x14ac:dyDescent="0.4">
      <c r="B46" s="11"/>
    </row>
    <row r="47" spans="2:10" x14ac:dyDescent="0.4">
      <c r="B47" s="11"/>
    </row>
    <row r="48" spans="2:10" x14ac:dyDescent="0.4">
      <c r="B48" s="11"/>
    </row>
    <row r="49" spans="2:2" x14ac:dyDescent="0.4">
      <c r="B49" s="11"/>
    </row>
    <row r="50" spans="2:2" x14ac:dyDescent="0.4">
      <c r="B50" s="11"/>
    </row>
    <row r="51" spans="2:2" x14ac:dyDescent="0.4">
      <c r="B51" s="11"/>
    </row>
    <row r="52" spans="2:2" x14ac:dyDescent="0.4">
      <c r="B52" s="11"/>
    </row>
  </sheetData>
  <pageMargins left="0.7" right="0.7" top="0.75" bottom="0.75" header="0.3" footer="0.3"/>
  <pageSetup scale="89" fitToHeight="0" orientation="landscape" r:id="rId1"/>
  <ignoredErrors>
    <ignoredError sqref="J8 J15 J2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54"/>
  <sheetViews>
    <sheetView showGridLines="0" zoomScale="85" zoomScaleNormal="85" workbookViewId="0">
      <selection activeCell="B2" sqref="B2:J39"/>
    </sheetView>
  </sheetViews>
  <sheetFormatPr defaultColWidth="9.15234375" defaultRowHeight="14.6" x14ac:dyDescent="0.4"/>
  <cols>
    <col min="1" max="1" width="3.15234375" style="8" customWidth="1"/>
    <col min="2" max="2" width="10.69140625" style="8" customWidth="1"/>
    <col min="3" max="3" width="45.53515625" style="8" customWidth="1"/>
    <col min="4" max="4" width="12.69140625" style="11" customWidth="1"/>
    <col min="5" max="5" width="12.53515625" style="3" customWidth="1"/>
    <col min="6" max="7" width="12.3828125" style="8" customWidth="1"/>
    <col min="8" max="8" width="12.53515625" style="3" customWidth="1"/>
    <col min="9" max="9" width="0.84375" style="12" customWidth="1"/>
    <col min="10" max="10" width="13.53515625" style="8" customWidth="1"/>
    <col min="11" max="11" width="10.15234375" style="8" customWidth="1"/>
    <col min="12" max="16384" width="9.15234375" style="8"/>
  </cols>
  <sheetData>
    <row r="2" spans="2:50" ht="23.15" x14ac:dyDescent="0.6">
      <c r="B2" s="36" t="s">
        <v>62</v>
      </c>
    </row>
    <row r="3" spans="2:50" x14ac:dyDescent="0.4">
      <c r="B3" s="77" t="s">
        <v>29</v>
      </c>
    </row>
    <row r="4" spans="2:50" x14ac:dyDescent="0.4">
      <c r="B4" s="7"/>
    </row>
    <row r="5" spans="2:50" ht="18.45" x14ac:dyDescent="0.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4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4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58.3" x14ac:dyDescent="0.4">
      <c r="B8" s="28"/>
      <c r="C8" s="31" t="s">
        <v>100</v>
      </c>
      <c r="D8" s="20">
        <f>133333.33*(0.15*SUM(SUM(D24:D26)/200000))</f>
        <v>153199.99617</v>
      </c>
      <c r="E8" s="20">
        <f t="shared" ref="E8:H8" si="0">133333.33*(0.15*SUM(SUM(E24:E26)/200000))</f>
        <v>45399.998864999994</v>
      </c>
      <c r="F8" s="20">
        <f t="shared" si="0"/>
        <v>793999.98014999996</v>
      </c>
      <c r="G8" s="20">
        <f t="shared" si="0"/>
        <v>595499.98511249991</v>
      </c>
      <c r="H8" s="20">
        <f t="shared" si="0"/>
        <v>595499.98511249991</v>
      </c>
      <c r="I8" s="41"/>
      <c r="J8" s="20">
        <f>SUM(D8:H8)</f>
        <v>2183599.9454099997</v>
      </c>
      <c r="L8" s="89"/>
      <c r="M8" s="89"/>
      <c r="N8" s="89"/>
      <c r="O8" s="89"/>
      <c r="P8" s="89"/>
      <c r="Q8" s="89"/>
    </row>
    <row r="9" spans="2:50" s="9" customFormat="1" x14ac:dyDescent="0.4">
      <c r="B9" s="28"/>
      <c r="C9" s="31"/>
      <c r="D9" s="20"/>
      <c r="E9" s="20"/>
      <c r="F9" s="20"/>
      <c r="G9" s="20"/>
      <c r="H9" s="20"/>
      <c r="I9" s="12"/>
      <c r="J9" s="20"/>
    </row>
    <row r="10" spans="2:50" s="9" customFormat="1" x14ac:dyDescent="0.4">
      <c r="B10" s="28"/>
      <c r="C10" s="14" t="s">
        <v>12</v>
      </c>
      <c r="D10" s="21">
        <f>SUM(D8:D9)</f>
        <v>153199.99617</v>
      </c>
      <c r="E10" s="21">
        <f>SUM(E8:E9)</f>
        <v>45399.998864999994</v>
      </c>
      <c r="F10" s="21">
        <f>SUM(F8:F9)</f>
        <v>793999.98014999996</v>
      </c>
      <c r="G10" s="21">
        <f>SUM(G8:G9)</f>
        <v>595499.98511249991</v>
      </c>
      <c r="H10" s="21">
        <f>SUM(H8:H9)</f>
        <v>595499.98511249991</v>
      </c>
      <c r="I10" s="12"/>
      <c r="J10" s="21">
        <f>SUM(J8:J9)</f>
        <v>2183599.9454099997</v>
      </c>
    </row>
    <row r="11" spans="2:50" s="9" customFormat="1" x14ac:dyDescent="0.4">
      <c r="B11" s="28"/>
      <c r="C11" s="19" t="s">
        <v>32</v>
      </c>
      <c r="D11" s="18" t="s">
        <v>31</v>
      </c>
      <c r="E11" s="15"/>
      <c r="F11" s="15"/>
      <c r="G11" s="15"/>
      <c r="H11" s="15"/>
      <c r="I11" s="12"/>
      <c r="J11" s="13" t="s">
        <v>31</v>
      </c>
    </row>
    <row r="12" spans="2:50" s="9" customFormat="1" x14ac:dyDescent="0.4">
      <c r="B12" s="28"/>
      <c r="C12" s="15"/>
      <c r="D12" s="20"/>
      <c r="E12" s="16"/>
      <c r="F12" s="16"/>
      <c r="G12" s="16"/>
      <c r="H12" s="16"/>
      <c r="I12" s="12"/>
      <c r="J12" s="20">
        <f t="shared" ref="J12" si="1">SUM(D12:H12)</f>
        <v>0</v>
      </c>
    </row>
    <row r="13" spans="2:50" s="9" customFormat="1" x14ac:dyDescent="0.4">
      <c r="B13" s="28"/>
      <c r="C13" s="14" t="s">
        <v>13</v>
      </c>
      <c r="D13" s="21">
        <f t="shared" ref="D13:J13" si="2">SUM(D12:D12)</f>
        <v>0</v>
      </c>
      <c r="E13" s="21">
        <f t="shared" si="2"/>
        <v>0</v>
      </c>
      <c r="F13" s="21">
        <f t="shared" si="2"/>
        <v>0</v>
      </c>
      <c r="G13" s="21">
        <f t="shared" si="2"/>
        <v>0</v>
      </c>
      <c r="H13" s="21">
        <f t="shared" si="2"/>
        <v>0</v>
      </c>
      <c r="I13" s="12"/>
      <c r="J13" s="21">
        <f t="shared" si="2"/>
        <v>0</v>
      </c>
    </row>
    <row r="14" spans="2:50" s="9" customFormat="1" x14ac:dyDescent="0.4">
      <c r="B14" s="28"/>
      <c r="C14" s="19" t="s">
        <v>33</v>
      </c>
      <c r="D14" s="18" t="s">
        <v>31</v>
      </c>
      <c r="E14" s="15"/>
      <c r="F14" s="15"/>
      <c r="G14" s="15"/>
      <c r="H14" s="15"/>
      <c r="I14" s="12"/>
      <c r="J14" s="13" t="s">
        <v>31</v>
      </c>
    </row>
    <row r="15" spans="2:50" s="9" customFormat="1" x14ac:dyDescent="0.4">
      <c r="B15" s="28"/>
      <c r="C15" s="31"/>
      <c r="D15" s="20"/>
      <c r="E15" s="20"/>
      <c r="F15" s="20"/>
      <c r="G15" s="20"/>
      <c r="H15" s="20"/>
      <c r="I15" s="41"/>
      <c r="J15" s="20">
        <f t="shared" ref="J15" si="3">SUM(D15:H15)</f>
        <v>0</v>
      </c>
    </row>
    <row r="16" spans="2:50" s="9" customFormat="1" x14ac:dyDescent="0.4">
      <c r="B16" s="28"/>
      <c r="C16" s="14" t="s">
        <v>14</v>
      </c>
      <c r="D16" s="21">
        <f>SUM(D15:D15)</f>
        <v>0</v>
      </c>
      <c r="E16" s="21">
        <f>SUM(E15:E15)</f>
        <v>0</v>
      </c>
      <c r="F16" s="21">
        <f>SUM(F15:F15)</f>
        <v>0</v>
      </c>
      <c r="G16" s="21">
        <f>SUM(G15:G15)</f>
        <v>0</v>
      </c>
      <c r="H16" s="21">
        <f>SUM(H15:H15)</f>
        <v>0</v>
      </c>
      <c r="I16" s="12"/>
      <c r="J16" s="21">
        <f>SUM(D16:H16)</f>
        <v>0</v>
      </c>
    </row>
    <row r="17" spans="2:10" s="9" customFormat="1" x14ac:dyDescent="0.4">
      <c r="B17" s="28"/>
      <c r="C17" s="19" t="s">
        <v>34</v>
      </c>
      <c r="D17" s="20"/>
      <c r="E17" s="15"/>
      <c r="F17" s="15"/>
      <c r="G17" s="15"/>
      <c r="H17" s="15"/>
      <c r="I17" s="12"/>
      <c r="J17" s="20" t="s">
        <v>20</v>
      </c>
    </row>
    <row r="18" spans="2:10" s="9" customFormat="1" x14ac:dyDescent="0.4">
      <c r="B18" s="28" t="s">
        <v>35</v>
      </c>
      <c r="C18" s="34" t="s">
        <v>35</v>
      </c>
      <c r="D18" s="18" t="s">
        <v>31</v>
      </c>
      <c r="E18" s="15"/>
      <c r="F18" s="15"/>
      <c r="G18" s="15"/>
      <c r="H18" s="15"/>
      <c r="I18" s="12"/>
      <c r="J18" s="20">
        <f t="shared" ref="J18:J32" si="4">SUM(D18:H18)</f>
        <v>0</v>
      </c>
    </row>
    <row r="19" spans="2:10" s="9" customFormat="1" x14ac:dyDescent="0.4">
      <c r="B19" s="28"/>
      <c r="C19" s="14" t="s">
        <v>15</v>
      </c>
      <c r="D19" s="17">
        <f>SUM(D18:D18)</f>
        <v>0</v>
      </c>
      <c r="E19" s="17">
        <f>SUM(E18:E18)</f>
        <v>0</v>
      </c>
      <c r="F19" s="17">
        <f>SUM(F18:F18)</f>
        <v>0</v>
      </c>
      <c r="G19" s="17">
        <f>SUM(G18:G18)</f>
        <v>0</v>
      </c>
      <c r="H19" s="17">
        <f>SUM(H18:H18)</f>
        <v>0</v>
      </c>
      <c r="I19" s="12"/>
      <c r="J19" s="21">
        <f t="shared" si="4"/>
        <v>0</v>
      </c>
    </row>
    <row r="20" spans="2:10" s="9" customFormat="1" x14ac:dyDescent="0.4">
      <c r="B20" s="28"/>
      <c r="C20" s="19" t="s">
        <v>36</v>
      </c>
      <c r="D20" s="18" t="s">
        <v>31</v>
      </c>
      <c r="E20" s="15"/>
      <c r="F20" s="15"/>
      <c r="G20" s="15"/>
      <c r="H20" s="15"/>
      <c r="I20" s="12"/>
      <c r="J20" s="20"/>
    </row>
    <row r="21" spans="2:10" s="9" customFormat="1" x14ac:dyDescent="0.4">
      <c r="B21" s="28"/>
      <c r="C21" s="31"/>
      <c r="D21" s="20"/>
      <c r="E21" s="16"/>
      <c r="F21" s="16"/>
      <c r="G21" s="16"/>
      <c r="H21" s="16"/>
      <c r="I21" s="12"/>
      <c r="J21" s="20">
        <f t="shared" si="4"/>
        <v>0</v>
      </c>
    </row>
    <row r="22" spans="2:10" s="9" customFormat="1" x14ac:dyDescent="0.4">
      <c r="B22" s="28"/>
      <c r="C22" s="14" t="s">
        <v>16</v>
      </c>
      <c r="D22" s="21">
        <f>SUM(D21:D21)</f>
        <v>0</v>
      </c>
      <c r="E22" s="21">
        <f>SUM(E21:E21)</f>
        <v>0</v>
      </c>
      <c r="F22" s="21">
        <f>SUM(F21:F21)</f>
        <v>0</v>
      </c>
      <c r="G22" s="21">
        <f>SUM(G21:G21)</f>
        <v>0</v>
      </c>
      <c r="H22" s="21">
        <f>SUM(H21:H21)</f>
        <v>0</v>
      </c>
      <c r="I22" s="12"/>
      <c r="J22" s="21">
        <f t="shared" si="4"/>
        <v>0</v>
      </c>
    </row>
    <row r="23" spans="2:10" s="9" customFormat="1" x14ac:dyDescent="0.4">
      <c r="B23" s="28"/>
      <c r="C23" s="19" t="s">
        <v>37</v>
      </c>
      <c r="D23" s="18" t="s">
        <v>31</v>
      </c>
      <c r="E23" s="15"/>
      <c r="F23" s="15"/>
      <c r="G23" s="15"/>
      <c r="H23" s="15"/>
      <c r="I23" s="12"/>
      <c r="J23" s="20"/>
    </row>
    <row r="24" spans="2:10" s="9" customFormat="1" x14ac:dyDescent="0.4">
      <c r="B24" s="28"/>
      <c r="C24" s="85" t="s">
        <v>46</v>
      </c>
      <c r="D24" s="20">
        <v>1532000</v>
      </c>
      <c r="E24" s="20">
        <v>0</v>
      </c>
      <c r="F24" s="20">
        <v>0</v>
      </c>
      <c r="G24" s="20">
        <v>0</v>
      </c>
      <c r="H24" s="20">
        <v>0</v>
      </c>
      <c r="I24" s="41"/>
      <c r="J24" s="20">
        <f t="shared" si="4"/>
        <v>1532000</v>
      </c>
    </row>
    <row r="25" spans="2:10" s="9" customFormat="1" x14ac:dyDescent="0.4">
      <c r="B25" s="28"/>
      <c r="C25" s="86" t="s">
        <v>49</v>
      </c>
      <c r="D25" s="20">
        <v>0</v>
      </c>
      <c r="E25" s="20">
        <v>454000</v>
      </c>
      <c r="F25" s="20">
        <v>0</v>
      </c>
      <c r="G25" s="20">
        <v>0</v>
      </c>
      <c r="H25" s="20">
        <v>0</v>
      </c>
      <c r="I25" s="41"/>
      <c r="J25" s="20">
        <f t="shared" si="4"/>
        <v>454000</v>
      </c>
    </row>
    <row r="26" spans="2:10" s="9" customFormat="1" x14ac:dyDescent="0.4">
      <c r="B26" s="28"/>
      <c r="C26" s="85" t="s">
        <v>45</v>
      </c>
      <c r="D26" s="20">
        <v>0</v>
      </c>
      <c r="E26" s="20">
        <v>0</v>
      </c>
      <c r="F26" s="20">
        <v>7940000</v>
      </c>
      <c r="G26" s="20">
        <v>5955000</v>
      </c>
      <c r="H26" s="20">
        <v>5955000</v>
      </c>
      <c r="I26" s="41"/>
      <c r="J26" s="20">
        <f t="shared" si="4"/>
        <v>19850000</v>
      </c>
    </row>
    <row r="27" spans="2:10" s="9" customFormat="1" x14ac:dyDescent="0.4">
      <c r="B27" s="28"/>
      <c r="C27" s="31"/>
      <c r="D27" s="20"/>
      <c r="E27" s="20"/>
      <c r="F27" s="20"/>
      <c r="G27" s="20"/>
      <c r="H27" s="20"/>
      <c r="I27" s="12"/>
      <c r="J27" s="20">
        <f t="shared" si="4"/>
        <v>0</v>
      </c>
    </row>
    <row r="28" spans="2:10" s="9" customFormat="1" x14ac:dyDescent="0.4">
      <c r="B28" s="28"/>
      <c r="C28" s="14" t="s">
        <v>17</v>
      </c>
      <c r="D28" s="21">
        <f>SUM(D24:D27)</f>
        <v>1532000</v>
      </c>
      <c r="E28" s="21">
        <f>SUM(E24:E27)</f>
        <v>454000</v>
      </c>
      <c r="F28" s="21">
        <f>SUM(F24:F27)</f>
        <v>7940000</v>
      </c>
      <c r="G28" s="21">
        <f>SUM(G24:G27)</f>
        <v>5955000</v>
      </c>
      <c r="H28" s="21">
        <f>SUM(H24:H27)</f>
        <v>5955000</v>
      </c>
      <c r="I28" s="12"/>
      <c r="J28" s="21">
        <f t="shared" si="4"/>
        <v>21836000</v>
      </c>
    </row>
    <row r="29" spans="2:10" s="9" customFormat="1" x14ac:dyDescent="0.4">
      <c r="B29" s="28"/>
      <c r="C29" s="19" t="s">
        <v>38</v>
      </c>
      <c r="D29" s="18" t="s">
        <v>31</v>
      </c>
      <c r="E29" s="15"/>
      <c r="F29" s="15"/>
      <c r="G29" s="15"/>
      <c r="H29" s="15"/>
      <c r="I29" s="12"/>
      <c r="J29" s="20"/>
    </row>
    <row r="30" spans="2:10" s="9" customFormat="1" x14ac:dyDescent="0.4">
      <c r="B30" s="28"/>
      <c r="C30" s="15"/>
      <c r="D30" s="20"/>
      <c r="E30" s="16"/>
      <c r="F30" s="16"/>
      <c r="G30" s="16"/>
      <c r="H30" s="16"/>
      <c r="I30" s="12"/>
      <c r="J30" s="20">
        <f t="shared" si="4"/>
        <v>0</v>
      </c>
    </row>
    <row r="31" spans="2:10" s="9" customFormat="1" x14ac:dyDescent="0.4">
      <c r="B31" s="30"/>
      <c r="C31" s="14" t="s">
        <v>18</v>
      </c>
      <c r="D31" s="21">
        <f>SUM(D30:D30)</f>
        <v>0</v>
      </c>
      <c r="E31" s="21">
        <f>SUM(E30:E30)</f>
        <v>0</v>
      </c>
      <c r="F31" s="21">
        <f>SUM(F30:F30)</f>
        <v>0</v>
      </c>
      <c r="G31" s="21">
        <f>SUM(G30:G30)</f>
        <v>0</v>
      </c>
      <c r="H31" s="21">
        <f>SUM(H30:H30)</f>
        <v>0</v>
      </c>
      <c r="I31" s="12"/>
      <c r="J31" s="21">
        <f t="shared" si="4"/>
        <v>0</v>
      </c>
    </row>
    <row r="32" spans="2:10" s="9" customFormat="1" x14ac:dyDescent="0.4">
      <c r="B32" s="30"/>
      <c r="C32" s="14" t="s">
        <v>19</v>
      </c>
      <c r="D32" s="21">
        <f>SUM(D31,D28,D22,D19,D16,D13,D10)</f>
        <v>1685199.9961699999</v>
      </c>
      <c r="E32" s="21">
        <f>SUM(E31,E28,E22,E19,E16,E13,E10)</f>
        <v>499399.99886499997</v>
      </c>
      <c r="F32" s="21">
        <f>SUM(F31,F28,F22,F19,F16,F13,F10)</f>
        <v>8733999.9801499993</v>
      </c>
      <c r="G32" s="21">
        <f>SUM(G31,G28,G22,G19,G16,G13,G10)</f>
        <v>6550499.9851124994</v>
      </c>
      <c r="H32" s="21">
        <f>SUM(H31,H28,H22,H19,H16,H13,H10)</f>
        <v>6550499.9851124994</v>
      </c>
      <c r="I32" s="12"/>
      <c r="J32" s="21">
        <f t="shared" si="4"/>
        <v>24019599.945409998</v>
      </c>
    </row>
    <row r="33" spans="2:11" s="9" customFormat="1" x14ac:dyDescent="0.4">
      <c r="B33" s="29"/>
      <c r="J33" s="9" t="s">
        <v>20</v>
      </c>
    </row>
    <row r="34" spans="2:11" s="9" customFormat="1" ht="29.15" x14ac:dyDescent="0.4">
      <c r="B34" s="84" t="s">
        <v>39</v>
      </c>
      <c r="C34" s="22" t="s">
        <v>39</v>
      </c>
      <c r="D34" s="23"/>
      <c r="E34" s="23"/>
      <c r="F34" s="23"/>
      <c r="G34" s="23"/>
      <c r="H34" s="23"/>
      <c r="J34" s="23" t="s">
        <v>20</v>
      </c>
    </row>
    <row r="35" spans="2:11" s="9" customFormat="1" x14ac:dyDescent="0.4">
      <c r="B35" s="28"/>
      <c r="C35" s="31" t="s">
        <v>48</v>
      </c>
      <c r="D35" s="87">
        <f>D8*0.5</f>
        <v>76599.998084999999</v>
      </c>
      <c r="E35" s="87">
        <f t="shared" ref="E35:H35" si="5">E8*0.5</f>
        <v>22699.999432499997</v>
      </c>
      <c r="F35" s="87">
        <f t="shared" si="5"/>
        <v>396999.99007499998</v>
      </c>
      <c r="G35" s="87">
        <f t="shared" si="5"/>
        <v>297749.99255624996</v>
      </c>
      <c r="H35" s="87">
        <f t="shared" si="5"/>
        <v>297749.99255624996</v>
      </c>
      <c r="I35" s="12"/>
      <c r="J35" s="20">
        <f>SUM(D35:H35)</f>
        <v>1091799.9727049998</v>
      </c>
    </row>
    <row r="36" spans="2:11" s="9" customFormat="1" x14ac:dyDescent="0.4">
      <c r="B36" s="28"/>
      <c r="C36" s="31"/>
      <c r="D36" s="18"/>
      <c r="E36" s="15"/>
      <c r="F36" s="15"/>
      <c r="G36" s="15"/>
      <c r="H36" s="15"/>
      <c r="I36" s="12"/>
      <c r="J36" s="20">
        <f t="shared" ref="J36:J37" si="6">SUM(D36:H36)</f>
        <v>0</v>
      </c>
    </row>
    <row r="37" spans="2:11" s="9" customFormat="1" x14ac:dyDescent="0.4">
      <c r="B37" s="30"/>
      <c r="C37" s="14" t="s">
        <v>21</v>
      </c>
      <c r="D37" s="21">
        <f>SUM(D35:D36)</f>
        <v>76599.998084999999</v>
      </c>
      <c r="E37" s="21">
        <f t="shared" ref="E37:H37" si="7">SUM(E35:E36)</f>
        <v>22699.999432499997</v>
      </c>
      <c r="F37" s="21">
        <f t="shared" si="7"/>
        <v>396999.99007499998</v>
      </c>
      <c r="G37" s="21">
        <f t="shared" si="7"/>
        <v>297749.99255624996</v>
      </c>
      <c r="H37" s="21">
        <f t="shared" si="7"/>
        <v>297749.99255624996</v>
      </c>
      <c r="I37" s="12"/>
      <c r="J37" s="21">
        <f t="shared" si="6"/>
        <v>1091799.9727049998</v>
      </c>
    </row>
    <row r="38" spans="2:11" s="9" customFormat="1" ht="15" thickBot="1" x14ac:dyDescent="0.45">
      <c r="B38" s="29"/>
      <c r="J38" s="9" t="s">
        <v>20</v>
      </c>
    </row>
    <row r="39" spans="2:11" s="6" customFormat="1" ht="29.6" thickBot="1" x14ac:dyDescent="0.45">
      <c r="B39" s="24" t="s">
        <v>22</v>
      </c>
      <c r="C39" s="24"/>
      <c r="D39" s="25">
        <f>SUM(D37,D32)</f>
        <v>1761799.994255</v>
      </c>
      <c r="E39" s="25">
        <f t="shared" ref="E39:J39" si="8">SUM(E37,E32)</f>
        <v>522099.99829749996</v>
      </c>
      <c r="F39" s="25">
        <f t="shared" si="8"/>
        <v>9130999.9702249989</v>
      </c>
      <c r="G39" s="25">
        <f t="shared" si="8"/>
        <v>6848249.9776687492</v>
      </c>
      <c r="H39" s="25">
        <f t="shared" si="8"/>
        <v>6848249.9776687492</v>
      </c>
      <c r="I39" s="12"/>
      <c r="J39" s="25">
        <f t="shared" si="8"/>
        <v>25111399.918114997</v>
      </c>
    </row>
    <row r="40" spans="2:11" x14ac:dyDescent="0.4">
      <c r="B40" s="11"/>
    </row>
    <row r="41" spans="2:11" x14ac:dyDescent="0.4">
      <c r="B41" s="11"/>
    </row>
    <row r="42" spans="2:11" x14ac:dyDescent="0.4">
      <c r="B42" s="11"/>
    </row>
    <row r="43" spans="2:11" x14ac:dyDescent="0.4">
      <c r="B43" s="11"/>
      <c r="D43" s="94"/>
      <c r="E43" s="94"/>
      <c r="F43" s="94"/>
      <c r="G43" s="94"/>
      <c r="H43" s="94"/>
      <c r="I43" s="94"/>
      <c r="J43" s="94"/>
      <c r="K43" s="101"/>
    </row>
    <row r="44" spans="2:11" x14ac:dyDescent="0.4">
      <c r="B44" s="11"/>
    </row>
    <row r="45" spans="2:11" x14ac:dyDescent="0.4">
      <c r="B45" s="11"/>
    </row>
    <row r="46" spans="2:11" x14ac:dyDescent="0.4">
      <c r="B46" s="11"/>
    </row>
    <row r="47" spans="2:11" x14ac:dyDescent="0.4">
      <c r="B47" s="11"/>
    </row>
    <row r="48" spans="2:11" x14ac:dyDescent="0.4">
      <c r="B48" s="11"/>
    </row>
    <row r="49" spans="2:2" x14ac:dyDescent="0.4">
      <c r="B49" s="11"/>
    </row>
    <row r="50" spans="2:2" x14ac:dyDescent="0.4">
      <c r="B50" s="11"/>
    </row>
    <row r="51" spans="2:2" x14ac:dyDescent="0.4">
      <c r="B51" s="11"/>
    </row>
    <row r="52" spans="2:2" x14ac:dyDescent="0.4">
      <c r="B52" s="11"/>
    </row>
    <row r="53" spans="2:2" x14ac:dyDescent="0.4">
      <c r="B53" s="11"/>
    </row>
    <row r="54" spans="2:2" x14ac:dyDescent="0.4">
      <c r="B54" s="11"/>
    </row>
  </sheetData>
  <pageMargins left="0.7" right="0.7" top="0.75" bottom="0.75" header="0.3" footer="0.3"/>
  <pageSetup scale="89" fitToHeight="0" orientation="landscape" r:id="rId1"/>
  <ignoredErrors>
    <ignoredError sqref="J25:J26 J1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R59"/>
  <sheetViews>
    <sheetView showGridLines="0" topLeftCell="A26" zoomScale="85" zoomScaleNormal="85" workbookViewId="0">
      <selection activeCell="M11" sqref="M11:O13"/>
    </sheetView>
  </sheetViews>
  <sheetFormatPr defaultColWidth="9.15234375" defaultRowHeight="14.6" x14ac:dyDescent="0.4"/>
  <cols>
    <col min="1" max="1" width="3.15234375" style="8" customWidth="1"/>
    <col min="2" max="2" width="10" style="8" customWidth="1"/>
    <col min="3" max="3" width="46.84375" style="8" customWidth="1"/>
    <col min="4" max="4" width="12.69140625" style="11" customWidth="1"/>
    <col min="5" max="5" width="12.3828125" style="3" customWidth="1"/>
    <col min="6" max="6" width="12.84375" style="8" customWidth="1"/>
    <col min="7" max="7" width="12.3828125" style="8" customWidth="1"/>
    <col min="8" max="8" width="12.69140625" style="3" customWidth="1"/>
    <col min="9" max="9" width="0.84375" style="12" customWidth="1"/>
    <col min="10" max="10" width="12.69140625" style="8" bestFit="1" customWidth="1"/>
    <col min="11" max="11" width="10.15234375" style="8" customWidth="1"/>
    <col min="12" max="12" width="13.53515625" style="8" bestFit="1" customWidth="1"/>
    <col min="13" max="13" width="9.15234375" style="8"/>
    <col min="14" max="14" width="11.3828125" style="8" bestFit="1" customWidth="1"/>
    <col min="15" max="16384" width="9.15234375" style="8"/>
  </cols>
  <sheetData>
    <row r="2" spans="2:44" ht="23.15" x14ac:dyDescent="0.6">
      <c r="B2" s="36" t="s">
        <v>63</v>
      </c>
    </row>
    <row r="3" spans="2:44" x14ac:dyDescent="0.4">
      <c r="B3" s="77" t="s">
        <v>29</v>
      </c>
    </row>
    <row r="4" spans="2:44" x14ac:dyDescent="0.4">
      <c r="B4" s="7"/>
    </row>
    <row r="5" spans="2:44" ht="18.45" x14ac:dyDescent="0.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2:44" x14ac:dyDescent="0.4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2:44" s="10" customFormat="1" x14ac:dyDescent="0.4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2:44" s="9" customFormat="1" ht="43.75" x14ac:dyDescent="0.4">
      <c r="B8" s="28"/>
      <c r="C8" s="31" t="s">
        <v>74</v>
      </c>
      <c r="D8" s="96">
        <f>133333.33*(0.15*D26/200000)</f>
        <v>30399.999239999997</v>
      </c>
      <c r="E8" s="20">
        <v>0</v>
      </c>
      <c r="F8" s="20">
        <v>0</v>
      </c>
      <c r="G8" s="20">
        <v>0</v>
      </c>
      <c r="H8" s="20">
        <v>0</v>
      </c>
      <c r="I8" s="41"/>
      <c r="J8" s="20">
        <f>SUM(D8:H8)</f>
        <v>30399.999239999997</v>
      </c>
      <c r="L8" s="89"/>
    </row>
    <row r="9" spans="2:44" s="9" customFormat="1" ht="43.75" x14ac:dyDescent="0.4">
      <c r="B9" s="28"/>
      <c r="C9" s="31" t="s">
        <v>96</v>
      </c>
      <c r="D9" s="20">
        <v>0</v>
      </c>
      <c r="E9" s="96">
        <f>133333.33*(0.15*E27/200000)</f>
        <v>164499.99588749997</v>
      </c>
      <c r="F9" s="96">
        <f>133333.33*(0.15*F27/200000)</f>
        <v>164499.99588749997</v>
      </c>
      <c r="G9" s="20">
        <v>0</v>
      </c>
      <c r="H9" s="20">
        <v>0</v>
      </c>
      <c r="I9" s="12"/>
      <c r="J9" s="20">
        <f>SUM(D9:H9)</f>
        <v>328999.99177499994</v>
      </c>
      <c r="L9" s="89"/>
    </row>
    <row r="10" spans="2:44" s="9" customFormat="1" ht="58.3" x14ac:dyDescent="0.4">
      <c r="B10" s="28"/>
      <c r="C10" s="31" t="s">
        <v>99</v>
      </c>
      <c r="D10" s="96">
        <f>133333.33*(0.15*D28/200000)</f>
        <v>31919.999201999995</v>
      </c>
      <c r="E10" s="96">
        <f>133333.33*(0.15*E28/200000)</f>
        <v>172724.99568187498</v>
      </c>
      <c r="F10" s="96">
        <f>133333.33*(0.15*F28/200000)</f>
        <v>172724.99568187498</v>
      </c>
      <c r="G10" s="20">
        <v>0</v>
      </c>
      <c r="H10" s="20">
        <v>0</v>
      </c>
      <c r="I10" s="12"/>
      <c r="J10" s="20">
        <f>SUM(D10:H10)</f>
        <v>377369.99056574993</v>
      </c>
      <c r="L10" s="89"/>
    </row>
    <row r="11" spans="2:44" s="9" customFormat="1" ht="43.75" x14ac:dyDescent="0.4">
      <c r="B11" s="28"/>
      <c r="C11" s="31" t="s">
        <v>71</v>
      </c>
      <c r="D11" s="96">
        <f>133333.33*(0.15*D29/200000)</f>
        <v>200812.49497968747</v>
      </c>
      <c r="E11" s="96">
        <f>133333.33*(0.15*E29/200000)</f>
        <v>200812.49497968747</v>
      </c>
      <c r="F11" s="20">
        <v>0</v>
      </c>
      <c r="G11" s="20">
        <v>0</v>
      </c>
      <c r="H11" s="20">
        <v>0</v>
      </c>
      <c r="I11" s="12"/>
      <c r="J11" s="20">
        <f>SUM(D11:H11)</f>
        <v>401624.98995937494</v>
      </c>
      <c r="L11" s="89"/>
      <c r="N11" s="102"/>
    </row>
    <row r="12" spans="2:44" s="9" customFormat="1" x14ac:dyDescent="0.4">
      <c r="B12" s="28"/>
      <c r="C12" s="14" t="s">
        <v>12</v>
      </c>
      <c r="D12" s="98">
        <f>SUM(D8:D11)</f>
        <v>263132.49342168745</v>
      </c>
      <c r="E12" s="21">
        <f t="shared" ref="E12:J12" si="0">SUM(E8:E11)</f>
        <v>538037.48654906242</v>
      </c>
      <c r="F12" s="21">
        <f t="shared" si="0"/>
        <v>337224.99156937492</v>
      </c>
      <c r="G12" s="21">
        <f t="shared" si="0"/>
        <v>0</v>
      </c>
      <c r="H12" s="21">
        <f t="shared" si="0"/>
        <v>0</v>
      </c>
      <c r="I12" s="12"/>
      <c r="J12" s="21">
        <f t="shared" si="0"/>
        <v>1138394.9715401249</v>
      </c>
      <c r="N12" s="102"/>
    </row>
    <row r="13" spans="2:44" s="9" customFormat="1" x14ac:dyDescent="0.4">
      <c r="B13" s="28"/>
      <c r="C13" s="19" t="s">
        <v>32</v>
      </c>
      <c r="D13" s="18" t="s">
        <v>31</v>
      </c>
      <c r="E13" s="15"/>
      <c r="F13" s="15"/>
      <c r="G13" s="15"/>
      <c r="H13" s="15"/>
      <c r="I13" s="12"/>
      <c r="J13" s="13" t="s">
        <v>31</v>
      </c>
      <c r="N13" s="102"/>
      <c r="O13" s="108"/>
    </row>
    <row r="14" spans="2:44" s="9" customFormat="1" x14ac:dyDescent="0.4">
      <c r="B14" s="28"/>
      <c r="C14" s="15"/>
      <c r="D14" s="20"/>
      <c r="E14" s="16"/>
      <c r="F14" s="16"/>
      <c r="G14" s="16"/>
      <c r="H14" s="16"/>
      <c r="I14" s="12"/>
      <c r="J14" s="20">
        <f t="shared" ref="J14" si="1">SUM(D14:H14)</f>
        <v>0</v>
      </c>
    </row>
    <row r="15" spans="2:44" s="9" customFormat="1" x14ac:dyDescent="0.4">
      <c r="B15" s="28"/>
      <c r="C15" s="14" t="s">
        <v>13</v>
      </c>
      <c r="D15" s="21">
        <f t="shared" ref="D15:J15" si="2">SUM(D14:D14)</f>
        <v>0</v>
      </c>
      <c r="E15" s="21">
        <f t="shared" si="2"/>
        <v>0</v>
      </c>
      <c r="F15" s="21">
        <f t="shared" si="2"/>
        <v>0</v>
      </c>
      <c r="G15" s="21">
        <f t="shared" si="2"/>
        <v>0</v>
      </c>
      <c r="H15" s="21">
        <f t="shared" si="2"/>
        <v>0</v>
      </c>
      <c r="I15" s="12"/>
      <c r="J15" s="21">
        <f t="shared" si="2"/>
        <v>0</v>
      </c>
    </row>
    <row r="16" spans="2:44" s="9" customFormat="1" x14ac:dyDescent="0.4">
      <c r="B16" s="28"/>
      <c r="C16" s="19" t="s">
        <v>33</v>
      </c>
      <c r="D16" s="18" t="s">
        <v>31</v>
      </c>
      <c r="E16" s="15"/>
      <c r="F16" s="15"/>
      <c r="G16" s="15"/>
      <c r="H16" s="15"/>
      <c r="I16" s="12"/>
      <c r="J16" s="13" t="s">
        <v>31</v>
      </c>
    </row>
    <row r="17" spans="2:12" s="9" customFormat="1" x14ac:dyDescent="0.4">
      <c r="B17" s="28"/>
      <c r="C17" s="31"/>
      <c r="D17" s="20"/>
      <c r="E17" s="20"/>
      <c r="F17" s="20"/>
      <c r="G17" s="20"/>
      <c r="H17" s="20"/>
      <c r="I17" s="41"/>
      <c r="J17" s="20">
        <f t="shared" ref="J17" si="3">SUM(D17:H17)</f>
        <v>0</v>
      </c>
    </row>
    <row r="18" spans="2:12" s="9" customFormat="1" x14ac:dyDescent="0.4">
      <c r="B18" s="28"/>
      <c r="C18" s="14" t="s">
        <v>14</v>
      </c>
      <c r="D18" s="21">
        <f>SUM(D17:D17)</f>
        <v>0</v>
      </c>
      <c r="E18" s="21">
        <f>SUM(E17:E17)</f>
        <v>0</v>
      </c>
      <c r="F18" s="21">
        <f>SUM(F17:F17)</f>
        <v>0</v>
      </c>
      <c r="G18" s="21">
        <f>SUM(G17:G17)</f>
        <v>0</v>
      </c>
      <c r="H18" s="21">
        <f>SUM(H17:H17)</f>
        <v>0</v>
      </c>
      <c r="I18" s="12"/>
      <c r="J18" s="21">
        <f>SUM(D18:H18)</f>
        <v>0</v>
      </c>
    </row>
    <row r="19" spans="2:12" s="9" customFormat="1" x14ac:dyDescent="0.4">
      <c r="B19" s="28"/>
      <c r="C19" s="19" t="s">
        <v>34</v>
      </c>
      <c r="D19" s="20"/>
      <c r="E19" s="15"/>
      <c r="F19" s="15"/>
      <c r="G19" s="15"/>
      <c r="H19" s="15"/>
      <c r="I19" s="12"/>
      <c r="J19" s="20" t="s">
        <v>20</v>
      </c>
    </row>
    <row r="20" spans="2:12" s="9" customFormat="1" x14ac:dyDescent="0.4">
      <c r="B20" s="28" t="s">
        <v>35</v>
      </c>
      <c r="C20" s="34" t="s">
        <v>35</v>
      </c>
      <c r="D20" s="18" t="s">
        <v>31</v>
      </c>
      <c r="E20" s="15"/>
      <c r="F20" s="15"/>
      <c r="G20" s="15"/>
      <c r="H20" s="15"/>
      <c r="I20" s="12"/>
      <c r="J20" s="20">
        <f t="shared" ref="J20:J35" si="4">SUM(D20:H20)</f>
        <v>0</v>
      </c>
    </row>
    <row r="21" spans="2:12" s="9" customFormat="1" x14ac:dyDescent="0.4">
      <c r="B21" s="28"/>
      <c r="C21" s="14" t="s">
        <v>15</v>
      </c>
      <c r="D21" s="17">
        <f>SUM(D20:D20)</f>
        <v>0</v>
      </c>
      <c r="E21" s="17">
        <f>SUM(E20:E20)</f>
        <v>0</v>
      </c>
      <c r="F21" s="17">
        <f>SUM(F20:F20)</f>
        <v>0</v>
      </c>
      <c r="G21" s="17">
        <f>SUM(G20:G20)</f>
        <v>0</v>
      </c>
      <c r="H21" s="17">
        <f>SUM(H20:H20)</f>
        <v>0</v>
      </c>
      <c r="I21" s="12"/>
      <c r="J21" s="21">
        <f t="shared" si="4"/>
        <v>0</v>
      </c>
    </row>
    <row r="22" spans="2:12" s="9" customFormat="1" x14ac:dyDescent="0.4">
      <c r="B22" s="28"/>
      <c r="C22" s="19" t="s">
        <v>36</v>
      </c>
      <c r="D22" s="18" t="s">
        <v>31</v>
      </c>
      <c r="E22" s="15"/>
      <c r="F22" s="15"/>
      <c r="G22" s="15"/>
      <c r="H22" s="15"/>
      <c r="I22" s="12"/>
      <c r="J22" s="20"/>
    </row>
    <row r="23" spans="2:12" s="9" customFormat="1" x14ac:dyDescent="0.4">
      <c r="B23" s="28"/>
      <c r="C23" s="31"/>
      <c r="D23" s="20"/>
      <c r="E23" s="16"/>
      <c r="F23" s="16"/>
      <c r="G23" s="16"/>
      <c r="H23" s="16"/>
      <c r="I23" s="12"/>
      <c r="J23" s="20">
        <f t="shared" si="4"/>
        <v>0</v>
      </c>
    </row>
    <row r="24" spans="2:12" s="9" customFormat="1" x14ac:dyDescent="0.4">
      <c r="B24" s="28"/>
      <c r="C24" s="14" t="s">
        <v>16</v>
      </c>
      <c r="D24" s="21">
        <f>SUM(D23:D23)</f>
        <v>0</v>
      </c>
      <c r="E24" s="21">
        <f>SUM(E23:E23)</f>
        <v>0</v>
      </c>
      <c r="F24" s="21">
        <f>SUM(F23:F23)</f>
        <v>0</v>
      </c>
      <c r="G24" s="21">
        <f>SUM(G23:G23)</f>
        <v>0</v>
      </c>
      <c r="H24" s="21">
        <f>SUM(H23:H23)</f>
        <v>0</v>
      </c>
      <c r="I24" s="12"/>
      <c r="J24" s="21">
        <f t="shared" si="4"/>
        <v>0</v>
      </c>
    </row>
    <row r="25" spans="2:12" s="9" customFormat="1" x14ac:dyDescent="0.4">
      <c r="B25" s="28"/>
      <c r="C25" s="19" t="s">
        <v>37</v>
      </c>
      <c r="D25" s="18" t="s">
        <v>31</v>
      </c>
      <c r="E25" s="15"/>
      <c r="F25" s="15"/>
      <c r="G25" s="15"/>
      <c r="H25" s="15"/>
      <c r="I25" s="12"/>
      <c r="J25" s="20"/>
    </row>
    <row r="26" spans="2:12" s="9" customFormat="1" ht="43.75" x14ac:dyDescent="0.4">
      <c r="B26" s="28"/>
      <c r="C26" s="31" t="s">
        <v>97</v>
      </c>
      <c r="D26" s="20">
        <f>304000</f>
        <v>304000</v>
      </c>
      <c r="E26" s="20"/>
      <c r="F26" s="20">
        <v>0</v>
      </c>
      <c r="G26" s="20">
        <v>0</v>
      </c>
      <c r="H26" s="20">
        <v>0</v>
      </c>
      <c r="I26" s="41"/>
      <c r="J26" s="20">
        <f t="shared" si="4"/>
        <v>304000</v>
      </c>
    </row>
    <row r="27" spans="2:12" s="9" customFormat="1" ht="29.15" x14ac:dyDescent="0.4">
      <c r="B27" s="28"/>
      <c r="C27" s="31" t="s">
        <v>72</v>
      </c>
      <c r="D27" s="20"/>
      <c r="E27" s="20">
        <v>1645000</v>
      </c>
      <c r="F27" s="20">
        <v>1645000</v>
      </c>
      <c r="G27" s="20">
        <v>0</v>
      </c>
      <c r="H27" s="20">
        <v>0</v>
      </c>
      <c r="I27" s="41"/>
      <c r="J27" s="20">
        <f t="shared" si="4"/>
        <v>3290000</v>
      </c>
      <c r="K27" s="102"/>
    </row>
    <row r="28" spans="2:12" s="9" customFormat="1" ht="43.75" x14ac:dyDescent="0.4">
      <c r="B28" s="28"/>
      <c r="C28" s="31" t="s">
        <v>98</v>
      </c>
      <c r="D28" s="20">
        <f>SUM(D26:D27)*1.05</f>
        <v>319200</v>
      </c>
      <c r="E28" s="20">
        <f t="shared" ref="E28:F28" si="5">SUM(E26:E27)*1.05</f>
        <v>1727250</v>
      </c>
      <c r="F28" s="20">
        <f t="shared" si="5"/>
        <v>1727250</v>
      </c>
      <c r="G28" s="20">
        <f t="shared" ref="G28:H28" si="6">SUM(G26:G27)*1.1</f>
        <v>0</v>
      </c>
      <c r="H28" s="20">
        <f t="shared" si="6"/>
        <v>0</v>
      </c>
      <c r="I28" s="41"/>
      <c r="J28" s="20">
        <f t="shared" si="4"/>
        <v>3773700</v>
      </c>
    </row>
    <row r="29" spans="2:12" s="9" customFormat="1" ht="43.75" x14ac:dyDescent="0.4">
      <c r="B29" s="28"/>
      <c r="C29" s="31" t="s">
        <v>59</v>
      </c>
      <c r="D29" s="20">
        <f>2.5*1606500/2</f>
        <v>2008125</v>
      </c>
      <c r="E29" s="20">
        <f>2.5*1606500/2</f>
        <v>2008125</v>
      </c>
      <c r="F29" s="20">
        <v>0</v>
      </c>
      <c r="G29" s="20">
        <v>0</v>
      </c>
      <c r="H29" s="20">
        <v>0</v>
      </c>
      <c r="I29" s="41"/>
      <c r="J29" s="20">
        <f t="shared" si="4"/>
        <v>4016250</v>
      </c>
    </row>
    <row r="30" spans="2:12" s="9" customFormat="1" x14ac:dyDescent="0.4">
      <c r="B30" s="28"/>
      <c r="C30" s="31"/>
      <c r="D30" s="20"/>
      <c r="E30" s="16"/>
      <c r="F30" s="16"/>
      <c r="G30" s="16"/>
      <c r="H30" s="16"/>
      <c r="I30" s="12"/>
      <c r="J30" s="20">
        <f t="shared" si="4"/>
        <v>0</v>
      </c>
    </row>
    <row r="31" spans="2:12" s="9" customFormat="1" x14ac:dyDescent="0.4">
      <c r="B31" s="28"/>
      <c r="C31" s="14" t="s">
        <v>40</v>
      </c>
      <c r="D31" s="21">
        <f>SUM(D26:D30)</f>
        <v>2631325</v>
      </c>
      <c r="E31" s="21">
        <f t="shared" ref="E31:H31" si="7">SUM(E26:E30)</f>
        <v>5380375</v>
      </c>
      <c r="F31" s="21">
        <f t="shared" si="7"/>
        <v>3372250</v>
      </c>
      <c r="G31" s="21">
        <f t="shared" si="7"/>
        <v>0</v>
      </c>
      <c r="H31" s="21">
        <f t="shared" si="7"/>
        <v>0</v>
      </c>
      <c r="I31" s="12"/>
      <c r="J31" s="21">
        <f t="shared" si="4"/>
        <v>11383950</v>
      </c>
      <c r="L31" s="97"/>
    </row>
    <row r="32" spans="2:12" s="9" customFormat="1" x14ac:dyDescent="0.4">
      <c r="B32" s="28"/>
      <c r="C32" s="19" t="s">
        <v>41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4">
      <c r="B33" s="28"/>
      <c r="C33" s="15"/>
      <c r="D33" s="20"/>
      <c r="E33" s="16"/>
      <c r="F33" s="16"/>
      <c r="G33" s="16"/>
      <c r="H33" s="16"/>
      <c r="I33" s="12"/>
      <c r="J33" s="20">
        <f t="shared" si="4"/>
        <v>0</v>
      </c>
    </row>
    <row r="34" spans="2:10" s="9" customFormat="1" x14ac:dyDescent="0.4">
      <c r="B34" s="30"/>
      <c r="C34" s="14" t="s">
        <v>18</v>
      </c>
      <c r="D34" s="21">
        <f>SUM(D33:D33)</f>
        <v>0</v>
      </c>
      <c r="E34" s="21">
        <f>SUM(E33:E33)</f>
        <v>0</v>
      </c>
      <c r="F34" s="21">
        <f>SUM(F33:F33)</f>
        <v>0</v>
      </c>
      <c r="G34" s="21">
        <f>SUM(G33:G33)</f>
        <v>0</v>
      </c>
      <c r="H34" s="21">
        <f>SUM(H33:H33)</f>
        <v>0</v>
      </c>
      <c r="I34" s="12"/>
      <c r="J34" s="21">
        <f t="shared" si="4"/>
        <v>0</v>
      </c>
    </row>
    <row r="35" spans="2:10" s="9" customFormat="1" x14ac:dyDescent="0.4">
      <c r="B35" s="30"/>
      <c r="C35" s="14" t="s">
        <v>19</v>
      </c>
      <c r="D35" s="21">
        <f>SUM(D34,D31,D24,D21,D18,D15,D12)</f>
        <v>2894457.4934216873</v>
      </c>
      <c r="E35" s="21">
        <f>SUM(E34,E31,E24,E21,E18,E15,E12)</f>
        <v>5918412.4865490627</v>
      </c>
      <c r="F35" s="21">
        <f>SUM(F34,F31,F24,F21,F18,F15,F12)</f>
        <v>3709474.9915693747</v>
      </c>
      <c r="G35" s="21">
        <f>SUM(G34,G31,G24,G21,G18,G15,G12)</f>
        <v>0</v>
      </c>
      <c r="H35" s="21">
        <f>SUM(H34,H31,H24,H21,H18,H15,H12)</f>
        <v>0</v>
      </c>
      <c r="I35" s="12"/>
      <c r="J35" s="21">
        <f t="shared" si="4"/>
        <v>12522344.971540123</v>
      </c>
    </row>
    <row r="36" spans="2:10" s="9" customFormat="1" x14ac:dyDescent="0.4">
      <c r="B36" s="29"/>
      <c r="J36" s="9" t="s">
        <v>20</v>
      </c>
    </row>
    <row r="37" spans="2:10" s="9" customFormat="1" ht="29.15" x14ac:dyDescent="0.4">
      <c r="B37" s="84" t="s">
        <v>39</v>
      </c>
      <c r="C37" s="22" t="s">
        <v>39</v>
      </c>
      <c r="D37" s="23"/>
      <c r="E37" s="23"/>
      <c r="F37" s="23"/>
      <c r="G37" s="23"/>
      <c r="H37" s="23"/>
      <c r="J37" s="23" t="s">
        <v>20</v>
      </c>
    </row>
    <row r="38" spans="2:10" s="9" customFormat="1" ht="29.15" x14ac:dyDescent="0.4">
      <c r="B38" s="28"/>
      <c r="C38" s="31" t="s">
        <v>73</v>
      </c>
      <c r="D38" s="20">
        <f t="shared" ref="D38:H40" si="8">D8*0.5</f>
        <v>15199.999619999999</v>
      </c>
      <c r="E38" s="20">
        <f t="shared" si="8"/>
        <v>0</v>
      </c>
      <c r="F38" s="20">
        <f t="shared" si="8"/>
        <v>0</v>
      </c>
      <c r="G38" s="20">
        <f t="shared" si="8"/>
        <v>0</v>
      </c>
      <c r="H38" s="20">
        <f t="shared" si="8"/>
        <v>0</v>
      </c>
      <c r="I38" s="12"/>
      <c r="J38" s="20">
        <f>SUM(D38:H38)</f>
        <v>15199.999619999999</v>
      </c>
    </row>
    <row r="39" spans="2:10" s="9" customFormat="1" ht="29.15" x14ac:dyDescent="0.4">
      <c r="B39" s="28"/>
      <c r="C39" s="31" t="s">
        <v>76</v>
      </c>
      <c r="D39" s="20">
        <f t="shared" si="8"/>
        <v>0</v>
      </c>
      <c r="E39" s="20">
        <f t="shared" si="8"/>
        <v>82249.997943749986</v>
      </c>
      <c r="F39" s="20">
        <f t="shared" si="8"/>
        <v>82249.997943749986</v>
      </c>
      <c r="G39" s="20">
        <f t="shared" si="8"/>
        <v>0</v>
      </c>
      <c r="H39" s="20">
        <f t="shared" si="8"/>
        <v>0</v>
      </c>
      <c r="I39" s="12"/>
      <c r="J39" s="20">
        <f t="shared" ref="J39:J41" si="9">SUM(D39:H39)</f>
        <v>164499.99588749997</v>
      </c>
    </row>
    <row r="40" spans="2:10" s="9" customFormat="1" ht="29.15" x14ac:dyDescent="0.4">
      <c r="B40" s="28"/>
      <c r="C40" s="31" t="s">
        <v>75</v>
      </c>
      <c r="D40" s="20">
        <f t="shared" si="8"/>
        <v>15959.999600999998</v>
      </c>
      <c r="E40" s="20">
        <f t="shared" si="8"/>
        <v>86362.497840937489</v>
      </c>
      <c r="F40" s="20">
        <f t="shared" si="8"/>
        <v>86362.497840937489</v>
      </c>
      <c r="G40" s="20">
        <f t="shared" si="8"/>
        <v>0</v>
      </c>
      <c r="H40" s="20">
        <f t="shared" si="8"/>
        <v>0</v>
      </c>
      <c r="I40" s="12"/>
      <c r="J40" s="20">
        <f t="shared" si="9"/>
        <v>188684.99528287497</v>
      </c>
    </row>
    <row r="41" spans="2:10" s="9" customFormat="1" x14ac:dyDescent="0.4">
      <c r="B41" s="28"/>
      <c r="C41" s="31" t="s">
        <v>64</v>
      </c>
      <c r="D41" s="20">
        <f>D11*0.5</f>
        <v>100406.24748984374</v>
      </c>
      <c r="E41" s="20">
        <f>E11*0.5</f>
        <v>100406.24748984374</v>
      </c>
      <c r="F41" s="20"/>
      <c r="G41" s="20"/>
      <c r="H41" s="20"/>
      <c r="I41" s="12"/>
      <c r="J41" s="20">
        <f t="shared" si="9"/>
        <v>200812.49497968747</v>
      </c>
    </row>
    <row r="42" spans="2:10" s="9" customFormat="1" x14ac:dyDescent="0.4">
      <c r="B42" s="30"/>
      <c r="C42" s="14" t="s">
        <v>21</v>
      </c>
      <c r="D42" s="21">
        <f>SUM(D38:D41)</f>
        <v>131566.24671084373</v>
      </c>
      <c r="E42" s="21">
        <f t="shared" ref="E42:H42" si="10">SUM(E38:E41)</f>
        <v>269018.74327453121</v>
      </c>
      <c r="F42" s="21">
        <f t="shared" si="10"/>
        <v>168612.49578468746</v>
      </c>
      <c r="G42" s="21">
        <f t="shared" si="10"/>
        <v>0</v>
      </c>
      <c r="H42" s="21">
        <f t="shared" si="10"/>
        <v>0</v>
      </c>
      <c r="I42" s="12"/>
      <c r="J42" s="21">
        <f>SUM(D42:H42)</f>
        <v>569197.48577006243</v>
      </c>
    </row>
    <row r="43" spans="2:10" s="9" customFormat="1" ht="15" thickBot="1" x14ac:dyDescent="0.45">
      <c r="B43" s="29"/>
      <c r="J43" s="9" t="s">
        <v>20</v>
      </c>
    </row>
    <row r="44" spans="2:10" s="6" customFormat="1" ht="29.6" thickBot="1" x14ac:dyDescent="0.45">
      <c r="B44" s="24" t="s">
        <v>22</v>
      </c>
      <c r="C44" s="24"/>
      <c r="D44" s="25">
        <f>SUM(D42,D35)</f>
        <v>3026023.7401325312</v>
      </c>
      <c r="E44" s="25">
        <f t="shared" ref="E44:J44" si="11">SUM(E42,E35)</f>
        <v>6187431.229823594</v>
      </c>
      <c r="F44" s="25">
        <f t="shared" si="11"/>
        <v>3878087.487354062</v>
      </c>
      <c r="G44" s="25">
        <f t="shared" si="11"/>
        <v>0</v>
      </c>
      <c r="H44" s="25">
        <f t="shared" si="11"/>
        <v>0</v>
      </c>
      <c r="I44" s="12"/>
      <c r="J44" s="25">
        <f t="shared" si="11"/>
        <v>13091542.457310185</v>
      </c>
    </row>
    <row r="45" spans="2:10" x14ac:dyDescent="0.4">
      <c r="B45" s="11"/>
    </row>
    <row r="46" spans="2:10" x14ac:dyDescent="0.4">
      <c r="B46" s="11"/>
    </row>
    <row r="47" spans="2:10" x14ac:dyDescent="0.4">
      <c r="B47" s="11"/>
    </row>
    <row r="48" spans="2:10" x14ac:dyDescent="0.4">
      <c r="B48" s="11"/>
    </row>
    <row r="49" spans="2:10" x14ac:dyDescent="0.4">
      <c r="B49" s="11"/>
      <c r="D49" s="94"/>
      <c r="E49" s="94"/>
      <c r="F49" s="94"/>
      <c r="G49" s="94"/>
      <c r="H49" s="94"/>
      <c r="I49" s="94"/>
      <c r="J49" s="94"/>
    </row>
    <row r="50" spans="2:10" x14ac:dyDescent="0.4">
      <c r="B50" s="11"/>
    </row>
    <row r="51" spans="2:10" x14ac:dyDescent="0.4">
      <c r="B51" s="11"/>
    </row>
    <row r="52" spans="2:10" x14ac:dyDescent="0.4">
      <c r="B52" s="11"/>
    </row>
    <row r="53" spans="2:10" x14ac:dyDescent="0.4">
      <c r="B53" s="11"/>
    </row>
    <row r="54" spans="2:10" x14ac:dyDescent="0.4">
      <c r="B54" s="11"/>
    </row>
    <row r="55" spans="2:10" x14ac:dyDescent="0.4">
      <c r="B55" s="11"/>
    </row>
    <row r="56" spans="2:10" x14ac:dyDescent="0.4">
      <c r="B56" s="11"/>
    </row>
    <row r="57" spans="2:10" x14ac:dyDescent="0.4">
      <c r="B57" s="11"/>
    </row>
    <row r="58" spans="2:10" x14ac:dyDescent="0.4">
      <c r="B58" s="11"/>
    </row>
    <row r="59" spans="2:10" x14ac:dyDescent="0.4">
      <c r="B59" s="11"/>
    </row>
  </sheetData>
  <pageMargins left="0.7" right="0.7" top="0.75" bottom="0.75" header="0.3" footer="0.3"/>
  <pageSetup scale="89" fitToHeight="0" orientation="landscape" r:id="rId1"/>
  <ignoredErrors>
    <ignoredError sqref="J8 J17 J29 J26:J2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8DDEC-6B94-4D61-BACF-E78C45071E10}">
  <dimension ref="C3:T65"/>
  <sheetViews>
    <sheetView tabSelected="1" topLeftCell="A19" workbookViewId="0">
      <selection activeCell="L33" sqref="L33"/>
    </sheetView>
  </sheetViews>
  <sheetFormatPr defaultRowHeight="14.6" x14ac:dyDescent="0.4"/>
  <cols>
    <col min="3" max="3" width="52.53515625" customWidth="1"/>
    <col min="4" max="4" width="11.3828125" bestFit="1" customWidth="1"/>
    <col min="5" max="8" width="10.3828125" bestFit="1" customWidth="1"/>
    <col min="9" max="9" width="12.3828125" bestFit="1" customWidth="1"/>
    <col min="12" max="12" width="11.3828125" bestFit="1" customWidth="1"/>
    <col min="14" max="14" width="13.15234375" bestFit="1" customWidth="1"/>
    <col min="15" max="15" width="27.84375" customWidth="1"/>
    <col min="16" max="16" width="11.3828125" bestFit="1" customWidth="1"/>
    <col min="19" max="20" width="10.3828125" bestFit="1" customWidth="1"/>
  </cols>
  <sheetData>
    <row r="3" spans="3:20" x14ac:dyDescent="0.4">
      <c r="C3" t="s">
        <v>77</v>
      </c>
      <c r="D3" t="s">
        <v>78</v>
      </c>
      <c r="E3" t="s">
        <v>79</v>
      </c>
      <c r="F3" t="s">
        <v>80</v>
      </c>
      <c r="G3" t="s">
        <v>81</v>
      </c>
      <c r="H3" t="s">
        <v>82</v>
      </c>
      <c r="I3" t="s">
        <v>28</v>
      </c>
      <c r="O3" t="s">
        <v>101</v>
      </c>
      <c r="P3" t="s">
        <v>102</v>
      </c>
      <c r="Q3" t="s">
        <v>103</v>
      </c>
      <c r="R3" t="s">
        <v>104</v>
      </c>
      <c r="S3" t="s">
        <v>105</v>
      </c>
      <c r="T3" t="s">
        <v>106</v>
      </c>
    </row>
    <row r="4" spans="3:20" x14ac:dyDescent="0.4">
      <c r="C4" t="s">
        <v>83</v>
      </c>
      <c r="D4" s="40">
        <f>'Measure 1 Budget'!D25</f>
        <v>0</v>
      </c>
      <c r="E4" s="40">
        <f>'Measure 1 Budget'!E25</f>
        <v>100000</v>
      </c>
      <c r="F4" s="40">
        <f>'Measure 1 Budget'!F25</f>
        <v>500000</v>
      </c>
      <c r="G4" s="40">
        <f>'Measure 1 Budget'!G25</f>
        <v>250000</v>
      </c>
      <c r="H4" s="40">
        <f>'Measure 1 Budget'!H25</f>
        <v>150000</v>
      </c>
      <c r="I4" s="40">
        <f>'Measure 1 Budget'!J25</f>
        <v>1000000</v>
      </c>
      <c r="O4" s="1" t="s">
        <v>107</v>
      </c>
    </row>
    <row r="5" spans="3:20" x14ac:dyDescent="0.4">
      <c r="C5" t="s">
        <v>84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O5" t="s">
        <v>110</v>
      </c>
      <c r="P5" s="40">
        <f>SUM(Q5:T5)</f>
        <v>1000000</v>
      </c>
      <c r="Q5" s="40">
        <f>E4</f>
        <v>100000</v>
      </c>
      <c r="R5" s="40">
        <f t="shared" ref="R5:T5" si="0">F4</f>
        <v>500000</v>
      </c>
      <c r="S5" s="40">
        <f t="shared" si="0"/>
        <v>250000</v>
      </c>
      <c r="T5" s="40">
        <f t="shared" si="0"/>
        <v>150000</v>
      </c>
    </row>
    <row r="6" spans="3:20" x14ac:dyDescent="0.4">
      <c r="C6" t="s">
        <v>85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O6" t="s">
        <v>112</v>
      </c>
      <c r="P6" s="40">
        <f t="shared" ref="P6:P10" si="1">SUM(Q6:T6)</f>
        <v>4400000</v>
      </c>
      <c r="Q6" s="40">
        <f>E7</f>
        <v>0</v>
      </c>
      <c r="R6" s="40">
        <f t="shared" ref="R6:T6" si="2">F7</f>
        <v>0</v>
      </c>
      <c r="S6" s="40">
        <f t="shared" si="2"/>
        <v>3400000</v>
      </c>
      <c r="T6" s="40">
        <f t="shared" si="2"/>
        <v>1000000</v>
      </c>
    </row>
    <row r="7" spans="3:20" x14ac:dyDescent="0.4">
      <c r="C7" t="s">
        <v>86</v>
      </c>
      <c r="D7" s="40">
        <f>'Measure 1 Budget'!D26</f>
        <v>0</v>
      </c>
      <c r="E7" s="40">
        <f>'Measure 1 Budget'!E26</f>
        <v>0</v>
      </c>
      <c r="F7" s="40">
        <f>'Measure 1 Budget'!F26</f>
        <v>0</v>
      </c>
      <c r="G7" s="40">
        <f>'Measure 1 Budget'!G26</f>
        <v>3400000</v>
      </c>
      <c r="H7" s="40">
        <f>'Measure 1 Budget'!H26</f>
        <v>1000000</v>
      </c>
      <c r="I7" s="40">
        <f>'Measure 1 Budget'!J26</f>
        <v>4400000</v>
      </c>
      <c r="O7" t="s">
        <v>113</v>
      </c>
      <c r="P7" s="40">
        <f t="shared" si="1"/>
        <v>783000</v>
      </c>
      <c r="Q7" s="40">
        <f>E14</f>
        <v>0</v>
      </c>
      <c r="R7" s="40">
        <f t="shared" ref="R7:T7" si="3">F14</f>
        <v>87000</v>
      </c>
      <c r="S7" s="40">
        <f t="shared" si="3"/>
        <v>348000</v>
      </c>
      <c r="T7" s="40">
        <f t="shared" si="3"/>
        <v>348000</v>
      </c>
    </row>
    <row r="8" spans="3:20" x14ac:dyDescent="0.4">
      <c r="C8" t="s">
        <v>87</v>
      </c>
      <c r="D8" s="40">
        <f>'Measure 1 Budget'!D8+'Measure 1 Budget'!D36</f>
        <v>0</v>
      </c>
      <c r="E8" s="40">
        <f>'Measure 1 Budget'!E8+'Measure 1 Budget'!E36</f>
        <v>14999.999624999999</v>
      </c>
      <c r="F8" s="40">
        <f>'Measure 1 Budget'!F8+'Measure 1 Budget'!F36</f>
        <v>74999.998124999998</v>
      </c>
      <c r="G8" s="40">
        <f>'Measure 1 Budget'!G8+'Measure 1 Budget'!G36</f>
        <v>547499.98631249997</v>
      </c>
      <c r="H8" s="40">
        <f>'Measure 1 Budget'!H8+'Measure 1 Budget'!H36</f>
        <v>172499.99568749999</v>
      </c>
      <c r="I8" s="40">
        <f>'Measure 1 Budget'!J8+'Measure 1 Budget'!J36</f>
        <v>809999.97974999982</v>
      </c>
      <c r="K8" s="109"/>
      <c r="O8" t="s">
        <v>111</v>
      </c>
      <c r="P8" s="40">
        <f t="shared" si="1"/>
        <v>3478000</v>
      </c>
      <c r="Q8" s="40">
        <f>E17</f>
        <v>0</v>
      </c>
      <c r="R8" s="40">
        <f t="shared" ref="R8:T8" si="4">F17</f>
        <v>0</v>
      </c>
      <c r="S8" s="40">
        <f t="shared" si="4"/>
        <v>1739000</v>
      </c>
      <c r="T8" s="40">
        <f t="shared" si="4"/>
        <v>1739000</v>
      </c>
    </row>
    <row r="9" spans="3:20" x14ac:dyDescent="0.4">
      <c r="C9" t="s">
        <v>88</v>
      </c>
      <c r="D9" s="40">
        <f>SUM(D4:D8)</f>
        <v>0</v>
      </c>
      <c r="E9" s="40">
        <f t="shared" ref="E9:I9" si="5">SUM(E4:E8)</f>
        <v>114999.999625</v>
      </c>
      <c r="F9" s="40">
        <f t="shared" si="5"/>
        <v>574999.99812500004</v>
      </c>
      <c r="G9" s="40">
        <f t="shared" si="5"/>
        <v>4197499.9863125002</v>
      </c>
      <c r="H9" s="40">
        <f t="shared" si="5"/>
        <v>1322499.9956875001</v>
      </c>
      <c r="I9" s="40">
        <f t="shared" si="5"/>
        <v>6209999.9797499999</v>
      </c>
      <c r="O9" s="1" t="s">
        <v>108</v>
      </c>
      <c r="P9" s="40">
        <f t="shared" si="1"/>
        <v>1449149.9637712499</v>
      </c>
      <c r="Q9" s="40">
        <f>E8+E18</f>
        <v>14999.999624999999</v>
      </c>
      <c r="R9" s="40">
        <f t="shared" ref="R9:T9" si="6">F8+F18</f>
        <v>88049.997798750002</v>
      </c>
      <c r="S9" s="40">
        <f t="shared" si="6"/>
        <v>860549.97848624992</v>
      </c>
      <c r="T9" s="40">
        <f t="shared" si="6"/>
        <v>485549.98786125</v>
      </c>
    </row>
    <row r="10" spans="3:20" x14ac:dyDescent="0.4">
      <c r="O10" s="1" t="s">
        <v>109</v>
      </c>
      <c r="P10" s="110">
        <f t="shared" si="1"/>
        <v>11110149.96377125</v>
      </c>
      <c r="Q10" s="110">
        <f>SUM(Q5:Q9)</f>
        <v>114999.999625</v>
      </c>
      <c r="R10" s="110">
        <f t="shared" ref="R10:T10" si="7">SUM(R5:R9)</f>
        <v>675049.99779874994</v>
      </c>
      <c r="S10" s="110">
        <f t="shared" si="7"/>
        <v>6597549.9784862502</v>
      </c>
      <c r="T10" s="110">
        <f t="shared" si="7"/>
        <v>3722549.9878612501</v>
      </c>
    </row>
    <row r="13" spans="3:20" x14ac:dyDescent="0.4">
      <c r="C13" t="s">
        <v>89</v>
      </c>
      <c r="D13" t="s">
        <v>78</v>
      </c>
      <c r="E13" t="s">
        <v>79</v>
      </c>
      <c r="F13" t="s">
        <v>80</v>
      </c>
      <c r="G13" t="s">
        <v>81</v>
      </c>
      <c r="H13" t="s">
        <v>82</v>
      </c>
      <c r="I13" t="s">
        <v>28</v>
      </c>
    </row>
    <row r="14" spans="3:20" x14ac:dyDescent="0.4">
      <c r="C14" t="s">
        <v>83</v>
      </c>
      <c r="D14" s="40">
        <f>'Measure 1 Budget'!D27</f>
        <v>0</v>
      </c>
      <c r="E14" s="40">
        <f>'Measure 1 Budget'!E27</f>
        <v>0</v>
      </c>
      <c r="F14" s="40">
        <f>'Measure 1 Budget'!F27</f>
        <v>87000</v>
      </c>
      <c r="G14" s="40">
        <f>'Measure 1 Budget'!G27</f>
        <v>348000</v>
      </c>
      <c r="H14" s="40">
        <f>'Measure 1 Budget'!H27</f>
        <v>348000</v>
      </c>
      <c r="I14" s="40">
        <f>'Measure 1 Budget'!J27</f>
        <v>783000</v>
      </c>
    </row>
    <row r="15" spans="3:20" x14ac:dyDescent="0.4">
      <c r="C15" t="s">
        <v>84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</row>
    <row r="16" spans="3:20" x14ac:dyDescent="0.4">
      <c r="C16" t="s">
        <v>85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/>
    </row>
    <row r="17" spans="3:15" x14ac:dyDescent="0.4">
      <c r="C17" t="s">
        <v>86</v>
      </c>
      <c r="D17" s="40">
        <f>'Measure 1 Budget'!D28</f>
        <v>0</v>
      </c>
      <c r="E17" s="40">
        <f>'Measure 1 Budget'!E28</f>
        <v>0</v>
      </c>
      <c r="F17" s="40">
        <f>'Measure 1 Budget'!F28</f>
        <v>0</v>
      </c>
      <c r="G17" s="40">
        <f>'Measure 1 Budget'!G28</f>
        <v>1739000</v>
      </c>
      <c r="H17" s="40">
        <f>'Measure 1 Budget'!H28</f>
        <v>1739000</v>
      </c>
      <c r="I17" s="40">
        <f>'Measure 1 Budget'!J28</f>
        <v>3478000</v>
      </c>
    </row>
    <row r="18" spans="3:15" x14ac:dyDescent="0.4">
      <c r="C18" t="s">
        <v>87</v>
      </c>
      <c r="D18" s="40">
        <f>'Measure 1 Budget'!D9+'Measure 1 Budget'!D37</f>
        <v>0</v>
      </c>
      <c r="E18" s="40">
        <f>'Measure 1 Budget'!E9+'Measure 1 Budget'!E37</f>
        <v>0</v>
      </c>
      <c r="F18" s="40">
        <f>'Measure 1 Budget'!F9+'Measure 1 Budget'!F37</f>
        <v>13049.999673749999</v>
      </c>
      <c r="G18" s="40">
        <f>'Measure 1 Budget'!G9+'Measure 1 Budget'!G37</f>
        <v>313049.99217375001</v>
      </c>
      <c r="H18" s="40">
        <f>'Measure 1 Budget'!H9+'Measure 1 Budget'!H37</f>
        <v>313049.99217375001</v>
      </c>
      <c r="I18" s="40">
        <f>'Measure 1 Budget'!J9+'Measure 1 Budget'!J37</f>
        <v>639149.98402125004</v>
      </c>
      <c r="K18" s="109"/>
    </row>
    <row r="19" spans="3:15" x14ac:dyDescent="0.4">
      <c r="C19" t="s">
        <v>88</v>
      </c>
      <c r="D19" s="40">
        <f>SUM(D14:D18)</f>
        <v>0</v>
      </c>
      <c r="E19" s="40">
        <f t="shared" ref="E19:I19" si="8">SUM(E14:E18)</f>
        <v>0</v>
      </c>
      <c r="F19" s="40">
        <f t="shared" si="8"/>
        <v>100049.99967375</v>
      </c>
      <c r="G19" s="40">
        <f t="shared" si="8"/>
        <v>2400049.99217375</v>
      </c>
      <c r="H19" s="40">
        <f t="shared" si="8"/>
        <v>2400049.99217375</v>
      </c>
      <c r="I19" s="40">
        <f t="shared" si="8"/>
        <v>4900149.9840212502</v>
      </c>
      <c r="J19" s="40"/>
      <c r="K19" t="s">
        <v>90</v>
      </c>
      <c r="L19" s="40">
        <f>I9+I19</f>
        <v>11110149.96377125</v>
      </c>
      <c r="M19" s="105" t="b">
        <f>ROUND(L19,5)=ROUND('Measure 1 Budget'!J40,5)</f>
        <v>1</v>
      </c>
      <c r="N19" s="107"/>
      <c r="O19" s="107"/>
    </row>
    <row r="23" spans="3:15" x14ac:dyDescent="0.4">
      <c r="C23" t="s">
        <v>43</v>
      </c>
      <c r="D23" t="s">
        <v>78</v>
      </c>
      <c r="E23" t="s">
        <v>79</v>
      </c>
      <c r="F23" t="s">
        <v>80</v>
      </c>
      <c r="G23" t="s">
        <v>81</v>
      </c>
      <c r="H23" t="s">
        <v>82</v>
      </c>
      <c r="I23" t="s">
        <v>28</v>
      </c>
    </row>
    <row r="24" spans="3:15" x14ac:dyDescent="0.4">
      <c r="C24" t="s">
        <v>91</v>
      </c>
      <c r="D24" s="40">
        <f>'Measure 2 Budget'!D24</f>
        <v>100000</v>
      </c>
      <c r="E24" s="40">
        <f>'Measure 2 Budget'!E24</f>
        <v>100000</v>
      </c>
      <c r="F24" s="40">
        <f>'Measure 2 Budget'!F24</f>
        <v>100000</v>
      </c>
      <c r="G24" s="40">
        <f>'Measure 2 Budget'!G24</f>
        <v>100000</v>
      </c>
      <c r="H24" s="40">
        <f>'Measure 2 Budget'!H24</f>
        <v>100000</v>
      </c>
      <c r="I24" s="40">
        <f>'Measure 2 Budget'!J24</f>
        <v>500000</v>
      </c>
    </row>
    <row r="25" spans="3:15" x14ac:dyDescent="0.4">
      <c r="C25" t="s">
        <v>87</v>
      </c>
      <c r="D25" s="40">
        <f>'Measure 2 Budget'!D8+'Measure 2 Budget'!D33</f>
        <v>14999.999624999999</v>
      </c>
      <c r="E25" s="40">
        <f>'Measure 2 Budget'!E8+'Measure 2 Budget'!E33</f>
        <v>14999.999624999999</v>
      </c>
      <c r="F25" s="40">
        <f>'Measure 2 Budget'!F8+'Measure 2 Budget'!F33</f>
        <v>14999.999624999999</v>
      </c>
      <c r="G25" s="40">
        <f>'Measure 2 Budget'!G8+'Measure 2 Budget'!G33</f>
        <v>14999.999624999999</v>
      </c>
      <c r="H25" s="40">
        <f>'Measure 2 Budget'!H8+'Measure 2 Budget'!H33</f>
        <v>14999.999624999999</v>
      </c>
      <c r="I25" s="40">
        <f>'Measure 2 Budget'!J8+'Measure 2 Budget'!J33</f>
        <v>74999.998124999998</v>
      </c>
    </row>
    <row r="26" spans="3:15" x14ac:dyDescent="0.4">
      <c r="C26" t="s">
        <v>88</v>
      </c>
      <c r="D26" s="40">
        <f>SUM(D24:D25)</f>
        <v>114999.999625</v>
      </c>
      <c r="E26" s="40">
        <f t="shared" ref="E26:H26" si="9">SUM(E24:E25)</f>
        <v>114999.999625</v>
      </c>
      <c r="F26" s="40">
        <f t="shared" si="9"/>
        <v>114999.999625</v>
      </c>
      <c r="G26" s="40">
        <f t="shared" si="9"/>
        <v>114999.999625</v>
      </c>
      <c r="H26" s="40">
        <f t="shared" si="9"/>
        <v>114999.999625</v>
      </c>
      <c r="I26" s="40">
        <f>SUM(I24:I25)</f>
        <v>574999.99812500004</v>
      </c>
      <c r="K26" t="s">
        <v>90</v>
      </c>
      <c r="M26" s="106" t="b">
        <f>I26='Measure 2 Budget'!J37</f>
        <v>1</v>
      </c>
    </row>
    <row r="30" spans="3:15" x14ac:dyDescent="0.4">
      <c r="C30" t="s">
        <v>44</v>
      </c>
      <c r="D30" t="s">
        <v>78</v>
      </c>
      <c r="E30" t="s">
        <v>79</v>
      </c>
      <c r="F30" t="s">
        <v>80</v>
      </c>
      <c r="G30" t="s">
        <v>81</v>
      </c>
      <c r="H30" t="s">
        <v>82</v>
      </c>
      <c r="I30" t="s">
        <v>28</v>
      </c>
    </row>
    <row r="31" spans="3:15" x14ac:dyDescent="0.4">
      <c r="C31" t="s">
        <v>46</v>
      </c>
      <c r="D31" s="40">
        <f>'Measure 3 Budget'!D24</f>
        <v>1532000</v>
      </c>
      <c r="E31" s="40">
        <f>'Measure 3 Budget'!E24</f>
        <v>0</v>
      </c>
      <c r="F31" s="40">
        <f>'Measure 3 Budget'!F24</f>
        <v>0</v>
      </c>
      <c r="G31" s="40">
        <f>'Measure 3 Budget'!G24</f>
        <v>0</v>
      </c>
      <c r="H31" s="40">
        <f>'Measure 3 Budget'!H24</f>
        <v>0</v>
      </c>
      <c r="I31" s="40">
        <f>'Measure 3 Budget'!J24</f>
        <v>1532000</v>
      </c>
    </row>
    <row r="32" spans="3:15" x14ac:dyDescent="0.4">
      <c r="C32" t="s">
        <v>49</v>
      </c>
      <c r="D32" s="40">
        <f>'Measure 3 Budget'!D25</f>
        <v>0</v>
      </c>
      <c r="E32" s="40">
        <f>'Measure 3 Budget'!E25</f>
        <v>454000</v>
      </c>
      <c r="F32" s="40">
        <f>'Measure 3 Budget'!F25</f>
        <v>0</v>
      </c>
      <c r="G32" s="40">
        <f>'Measure 3 Budget'!G25</f>
        <v>0</v>
      </c>
      <c r="H32" s="40">
        <f>'Measure 3 Budget'!H25</f>
        <v>0</v>
      </c>
      <c r="I32" s="40">
        <f>'Measure 3 Budget'!J25</f>
        <v>454000</v>
      </c>
    </row>
    <row r="33" spans="3:13" x14ac:dyDescent="0.4">
      <c r="C33" t="s">
        <v>45</v>
      </c>
      <c r="D33" s="40">
        <f>'Measure 3 Budget'!D26</f>
        <v>0</v>
      </c>
      <c r="E33" s="40">
        <f>'Measure 3 Budget'!E26</f>
        <v>0</v>
      </c>
      <c r="F33" s="40">
        <f>'Measure 3 Budget'!F26</f>
        <v>7940000</v>
      </c>
      <c r="G33" s="40">
        <f>'Measure 3 Budget'!G26</f>
        <v>5955000</v>
      </c>
      <c r="H33" s="40">
        <f>'Measure 3 Budget'!H26</f>
        <v>5955000</v>
      </c>
      <c r="I33" s="40">
        <f>'Measure 3 Budget'!J26</f>
        <v>19850000</v>
      </c>
    </row>
    <row r="34" spans="3:13" x14ac:dyDescent="0.4">
      <c r="C34" t="s">
        <v>87</v>
      </c>
      <c r="D34" s="40">
        <f>'Measure 3 Budget'!D10+'Measure 3 Budget'!D35</f>
        <v>229799.994255</v>
      </c>
      <c r="E34" s="40">
        <f>'Measure 3 Budget'!E10+'Measure 3 Budget'!E35</f>
        <v>68099.998297499988</v>
      </c>
      <c r="F34" s="40">
        <f>'Measure 3 Budget'!F10+'Measure 3 Budget'!F35</f>
        <v>1190999.9702249998</v>
      </c>
      <c r="G34" s="40">
        <f>'Measure 3 Budget'!G10+'Measure 3 Budget'!G35</f>
        <v>893249.97766874987</v>
      </c>
      <c r="H34" s="40">
        <f>'Measure 3 Budget'!H10+'Measure 3 Budget'!H35</f>
        <v>893249.97766874987</v>
      </c>
      <c r="I34" s="40">
        <f>'Measure 3 Budget'!J10+'Measure 3 Budget'!J35</f>
        <v>3275399.9181149993</v>
      </c>
    </row>
    <row r="35" spans="3:13" x14ac:dyDescent="0.4">
      <c r="C35" t="s">
        <v>88</v>
      </c>
      <c r="D35" s="40">
        <f>SUM(D31:D34)</f>
        <v>1761799.994255</v>
      </c>
      <c r="E35" s="40">
        <f t="shared" ref="E35:H35" si="10">SUM(E31:E34)</f>
        <v>522099.99829749996</v>
      </c>
      <c r="F35" s="40">
        <f t="shared" si="10"/>
        <v>9130999.9702249989</v>
      </c>
      <c r="G35" s="40">
        <f t="shared" si="10"/>
        <v>6848249.9776687501</v>
      </c>
      <c r="H35" s="40">
        <f t="shared" si="10"/>
        <v>6848249.9776687501</v>
      </c>
      <c r="I35" s="40">
        <f>SUM(I31:I34)</f>
        <v>25111399.918114997</v>
      </c>
      <c r="K35" t="s">
        <v>90</v>
      </c>
      <c r="M35" s="106" t="b">
        <f>I35='Measure 3 Budget'!J39</f>
        <v>1</v>
      </c>
    </row>
    <row r="36" spans="3:13" x14ac:dyDescent="0.4">
      <c r="D36" s="103"/>
      <c r="E36" s="103"/>
    </row>
    <row r="39" spans="3:13" x14ac:dyDescent="0.4">
      <c r="C39" t="s">
        <v>92</v>
      </c>
      <c r="D39" t="s">
        <v>78</v>
      </c>
      <c r="E39" t="s">
        <v>79</v>
      </c>
      <c r="F39" t="s">
        <v>80</v>
      </c>
      <c r="G39" t="s">
        <v>81</v>
      </c>
      <c r="H39" t="s">
        <v>82</v>
      </c>
      <c r="I39" t="s">
        <v>28</v>
      </c>
    </row>
    <row r="40" spans="3:13" x14ac:dyDescent="0.4">
      <c r="C40" t="s">
        <v>95</v>
      </c>
      <c r="D40" s="40">
        <f>'Measure 4 Budget'!D26+'Measure 4 Budget'!D27</f>
        <v>304000</v>
      </c>
      <c r="E40" s="40">
        <f>'Measure 4 Budget'!E26+'Measure 4 Budget'!E27</f>
        <v>1645000</v>
      </c>
      <c r="F40" s="40">
        <f>'Measure 4 Budget'!F26+'Measure 4 Budget'!F27</f>
        <v>1645000</v>
      </c>
      <c r="G40" s="40">
        <f>'Measure 4 Budget'!G26+'Measure 4 Budget'!G27</f>
        <v>0</v>
      </c>
      <c r="H40" s="40">
        <f>'Measure 4 Budget'!H26+'Measure 4 Budget'!H27</f>
        <v>0</v>
      </c>
      <c r="I40" s="40">
        <f>'Measure 4 Budget'!J26+'Measure 4 Budget'!J27</f>
        <v>3594000</v>
      </c>
    </row>
    <row r="41" spans="3:13" x14ac:dyDescent="0.4">
      <c r="C41" t="s">
        <v>93</v>
      </c>
      <c r="D41" s="40">
        <f>'Measure 4 Budget'!D28</f>
        <v>319200</v>
      </c>
      <c r="E41" s="40">
        <f>'Measure 4 Budget'!E28</f>
        <v>1727250</v>
      </c>
      <c r="F41" s="40">
        <f>'Measure 4 Budget'!F28</f>
        <v>1727250</v>
      </c>
      <c r="G41" s="40">
        <f>'Measure 4 Budget'!G28</f>
        <v>0</v>
      </c>
      <c r="H41" s="40">
        <f>'Measure 4 Budget'!H28</f>
        <v>0</v>
      </c>
      <c r="I41" s="40">
        <f>'Measure 4 Budget'!J28</f>
        <v>3773700</v>
      </c>
    </row>
    <row r="42" spans="3:13" x14ac:dyDescent="0.4">
      <c r="C42" t="s">
        <v>94</v>
      </c>
      <c r="D42" s="40">
        <f>'Measure 4 Budget'!D29</f>
        <v>2008125</v>
      </c>
      <c r="E42" s="40">
        <f>'Measure 4 Budget'!E29</f>
        <v>2008125</v>
      </c>
      <c r="F42" s="40">
        <f>'Measure 4 Budget'!F29</f>
        <v>0</v>
      </c>
      <c r="G42" s="40">
        <f>'Measure 4 Budget'!G29</f>
        <v>0</v>
      </c>
      <c r="H42" s="40">
        <f>'Measure 4 Budget'!H29</f>
        <v>0</v>
      </c>
      <c r="I42" s="40">
        <f>'Measure 4 Budget'!J29</f>
        <v>4016250</v>
      </c>
    </row>
    <row r="43" spans="3:13" x14ac:dyDescent="0.4">
      <c r="C43" t="s">
        <v>87</v>
      </c>
      <c r="D43" s="40">
        <f>'Measure 4 Budget'!D12+'Measure 4 Budget'!D42</f>
        <v>394698.74013253115</v>
      </c>
      <c r="E43" s="40">
        <f>'Measure 4 Budget'!E12+'Measure 4 Budget'!E42</f>
        <v>807056.22982359363</v>
      </c>
      <c r="F43" s="40">
        <f>'Measure 4 Budget'!F12+'Measure 4 Budget'!F42</f>
        <v>505837.48735406238</v>
      </c>
      <c r="G43" s="40">
        <f>'Measure 4 Budget'!G12+'Measure 4 Budget'!G42</f>
        <v>0</v>
      </c>
      <c r="H43" s="40">
        <f>'Measure 4 Budget'!H12+'Measure 4 Budget'!H42</f>
        <v>0</v>
      </c>
      <c r="I43" s="40">
        <f>'Measure 4 Budget'!J12+'Measure 4 Budget'!J42</f>
        <v>1707592.4573101872</v>
      </c>
    </row>
    <row r="44" spans="3:13" x14ac:dyDescent="0.4">
      <c r="C44" t="s">
        <v>88</v>
      </c>
      <c r="D44" s="40">
        <f>SUM(D40:D43)</f>
        <v>3026023.7401325312</v>
      </c>
      <c r="E44" s="40">
        <f t="shared" ref="E44:H44" si="11">SUM(E40:E43)</f>
        <v>6187431.229823594</v>
      </c>
      <c r="F44" s="40">
        <f t="shared" si="11"/>
        <v>3878087.4873540625</v>
      </c>
      <c r="G44" s="40">
        <f t="shared" si="11"/>
        <v>0</v>
      </c>
      <c r="H44" s="40">
        <f t="shared" si="11"/>
        <v>0</v>
      </c>
      <c r="I44" s="40">
        <f>SUM(I40:I43)</f>
        <v>13091542.457310187</v>
      </c>
      <c r="K44" t="s">
        <v>90</v>
      </c>
      <c r="M44" s="106" t="b">
        <f>I44='Measure 4 Budget'!J44</f>
        <v>1</v>
      </c>
    </row>
    <row r="50" spans="3:4" x14ac:dyDescent="0.4">
      <c r="C50" s="112" t="s">
        <v>114</v>
      </c>
      <c r="D50" s="111" t="s">
        <v>118</v>
      </c>
    </row>
    <row r="51" spans="3:4" x14ac:dyDescent="0.4">
      <c r="C51" s="112" t="s">
        <v>115</v>
      </c>
      <c r="D51" s="113">
        <f>I9+I19</f>
        <v>11110149.96377125</v>
      </c>
    </row>
    <row r="52" spans="3:4" x14ac:dyDescent="0.4">
      <c r="C52" s="112" t="s">
        <v>91</v>
      </c>
      <c r="D52" s="113">
        <f>I26</f>
        <v>574999.99812500004</v>
      </c>
    </row>
    <row r="53" spans="3:4" x14ac:dyDescent="0.4">
      <c r="C53" s="112" t="s">
        <v>44</v>
      </c>
      <c r="D53" s="113">
        <f>I35</f>
        <v>25111399.918114997</v>
      </c>
    </row>
    <row r="54" spans="3:4" x14ac:dyDescent="0.4">
      <c r="C54" s="112" t="s">
        <v>116</v>
      </c>
      <c r="D54" s="113">
        <f>'Measure 4 Budget'!N11</f>
        <v>0</v>
      </c>
    </row>
    <row r="55" spans="3:4" x14ac:dyDescent="0.4">
      <c r="C55" s="112" t="s">
        <v>117</v>
      </c>
      <c r="D55" s="113">
        <f>'Measure 4 Budget'!N12</f>
        <v>0</v>
      </c>
    </row>
    <row r="56" spans="3:4" x14ac:dyDescent="0.4">
      <c r="C56" s="114" t="s">
        <v>28</v>
      </c>
      <c r="D56" s="113">
        <f>SUM(D51:D55)</f>
        <v>36796549.880011246</v>
      </c>
    </row>
    <row r="60" spans="3:4" x14ac:dyDescent="0.4">
      <c r="C60" s="112" t="s">
        <v>114</v>
      </c>
      <c r="D60" s="111" t="s">
        <v>118</v>
      </c>
    </row>
    <row r="61" spans="3:4" x14ac:dyDescent="0.4">
      <c r="C61" s="112" t="s">
        <v>115</v>
      </c>
      <c r="D61" s="113">
        <f>D51</f>
        <v>11110149.96377125</v>
      </c>
    </row>
    <row r="62" spans="3:4" x14ac:dyDescent="0.4">
      <c r="C62" s="112" t="s">
        <v>91</v>
      </c>
      <c r="D62" s="113">
        <f>D52</f>
        <v>574999.99812500004</v>
      </c>
    </row>
    <row r="63" spans="3:4" x14ac:dyDescent="0.4">
      <c r="C63" s="112" t="s">
        <v>44</v>
      </c>
      <c r="D63" s="113">
        <f>D53</f>
        <v>25111399.918114997</v>
      </c>
    </row>
    <row r="64" spans="3:4" x14ac:dyDescent="0.4">
      <c r="C64" s="112" t="s">
        <v>119</v>
      </c>
      <c r="D64" s="113">
        <f>D54+D55</f>
        <v>0</v>
      </c>
    </row>
    <row r="65" spans="3:4" x14ac:dyDescent="0.4">
      <c r="C65" s="114" t="s">
        <v>28</v>
      </c>
      <c r="D65" s="113">
        <f>SUM(D61:D64)</f>
        <v>36796549.880011246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5a3cb50-64c2-47dd-9815-e6e3440037c4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80019b67-4018-48c0-b1a3-d6ff5881bafb">
      <Terms xmlns="http://schemas.microsoft.com/office/infopath/2007/PartnerControls"/>
    </lcf76f155ced4ddcb4097134ff3c332f>
    <TaxCatchAll xmlns="d5a3cb50-64c2-47dd-9815-e6e3440037c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DE85E2FB62B244816605C8D699925C" ma:contentTypeVersion="14" ma:contentTypeDescription="Create a new document." ma:contentTypeScope="" ma:versionID="ce023dbe8ab198c757f8114a5214b9a0">
  <xsd:schema xmlns:xsd="http://www.w3.org/2001/XMLSchema" xmlns:xs="http://www.w3.org/2001/XMLSchema" xmlns:p="http://schemas.microsoft.com/office/2006/metadata/properties" xmlns:ns2="80019b67-4018-48c0-b1a3-d6ff5881bafb" xmlns:ns3="d5a3cb50-64c2-47dd-9815-e6e3440037c4" targetNamespace="http://schemas.microsoft.com/office/2006/metadata/properties" ma:root="true" ma:fieldsID="efd37665a6de480f3df7ba55ecd4ef40" ns2:_="" ns3:_="">
    <xsd:import namespace="80019b67-4018-48c0-b1a3-d6ff5881bafb"/>
    <xsd:import namespace="d5a3cb50-64c2-47dd-9815-e6e3440037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19b67-4018-48c0-b1a3-d6ff5881ba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a3cb50-64c2-47dd-9815-e6e3440037c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c0a54fd-4343-4714-b6db-923afaaff01f}" ma:internalName="TaxCatchAll" ma:showField="CatchAllData" ma:web="d5a3cb50-64c2-47dd-9815-e6e3440037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d5a3cb50-64c2-47dd-9815-e6e3440037c4"/>
    <ds:schemaRef ds:uri="80019b67-4018-48c0-b1a3-d6ff5881bafb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FA83ED-A797-4CAD-83D2-4C0DB7A3C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019b67-4018-48c0-b1a3-d6ff5881bafb"/>
    <ds:schemaRef ds:uri="d5a3cb50-64c2-47dd-9815-e6e344003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Tables for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2024-03-29T17:26:56Z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0x0101001EDE85E2FB62B244816605C8D699925C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