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32325" windowHeight="10470" tabRatio="979" firstSheet="1" activeTab="1"/>
  </bookViews>
  <sheets>
    <sheet name="Overview" sheetId="26" r:id="rId1"/>
    <sheet name="Consolidated Budget" sheetId="30" r:id="rId2"/>
    <sheet name="Water Transportation" sheetId="35" r:id="rId3"/>
    <sheet name="Rail Infrastructure" sheetId="45" r:id="rId4"/>
    <sheet name="Vehicle-to-Grid Integration" sheetId="48" r:id="rId5"/>
    <sheet name="Tribal Fleets" sheetId="40" r:id="rId6"/>
    <sheet name="SCC energy district" sheetId="44" r:id="rId7"/>
    <sheet name="WWU energy district" sheetId="39" r:id="rId8"/>
    <sheet name="AD" sheetId="47" r:id="rId9"/>
    <sheet name="Tribal CE grant" sheetId="27" r:id="rId10"/>
    <sheet name="Commerce Subaward Management" sheetId="37" r:id="rId11"/>
  </sheets>
  <definedNames>
    <definedName name="_xlnm._FilterDatabase" localSheetId="8" hidden="1">AD!#REF!</definedName>
    <definedName name="_xlnm._FilterDatabase" localSheetId="1" hidden="1">'Consolidated Budget'!#REF!</definedName>
    <definedName name="_xlnm._FilterDatabase" localSheetId="3" hidden="1">'Rail Infrastructure'!#REF!</definedName>
    <definedName name="_xlnm._FilterDatabase" localSheetId="6" hidden="1">'SCC energy district'!#REF!</definedName>
    <definedName name="_xlnm._FilterDatabase" localSheetId="9" hidden="1">'Tribal CE grant'!#REF!</definedName>
    <definedName name="_xlnm._FilterDatabase" localSheetId="5" hidden="1">'Tribal Fleets'!#REF!</definedName>
    <definedName name="_xlnm._FilterDatabase" localSheetId="4" hidden="1">'Vehicle-to-Grid Integration'!#REF!</definedName>
    <definedName name="_xlnm._FilterDatabase" localSheetId="2" hidden="1">'Water Transportation'!#REF!</definedName>
    <definedName name="_xlnm._FilterDatabase" localSheetId="7" hidden="1">'WWU energy district'!#REF!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30" l="1"/>
  <c r="F25" i="30"/>
  <c r="G25" i="30"/>
  <c r="H25" i="30"/>
  <c r="D25" i="30"/>
  <c r="J24" i="30"/>
  <c r="J26" i="30"/>
  <c r="J27" i="30"/>
  <c r="J28" i="30"/>
  <c r="J29" i="30"/>
  <c r="J23" i="30"/>
  <c r="J30" i="30"/>
  <c r="E53" i="37"/>
  <c r="F53" i="37"/>
  <c r="G53" i="37"/>
  <c r="H53" i="37"/>
  <c r="D53" i="37"/>
  <c r="D52" i="37"/>
  <c r="J52" i="37"/>
  <c r="J60" i="37" s="1"/>
  <c r="J49" i="37"/>
  <c r="D51" i="37"/>
  <c r="J35" i="37"/>
  <c r="D37" i="37"/>
  <c r="J25" i="30" l="1"/>
  <c r="D50" i="37"/>
  <c r="D49" i="37"/>
  <c r="E48" i="37"/>
  <c r="F48" i="37"/>
  <c r="G48" i="37"/>
  <c r="H48" i="37"/>
  <c r="D48" i="37"/>
  <c r="E32" i="30"/>
  <c r="F32" i="30"/>
  <c r="G32" i="30"/>
  <c r="H32" i="30"/>
  <c r="D32" i="30"/>
  <c r="E47" i="37"/>
  <c r="F47" i="37"/>
  <c r="G47" i="37"/>
  <c r="H47" i="37"/>
  <c r="D47" i="37"/>
  <c r="E46" i="37"/>
  <c r="F46" i="37"/>
  <c r="G46" i="37"/>
  <c r="H46" i="37"/>
  <c r="D46" i="37"/>
  <c r="E45" i="37"/>
  <c r="F45" i="37"/>
  <c r="G45" i="37"/>
  <c r="H45" i="37"/>
  <c r="D45" i="37"/>
  <c r="E44" i="37"/>
  <c r="F44" i="37"/>
  <c r="G44" i="37"/>
  <c r="H44" i="37"/>
  <c r="D44" i="37"/>
  <c r="E43" i="37"/>
  <c r="F43" i="37"/>
  <c r="G43" i="37"/>
  <c r="H43" i="37"/>
  <c r="D43" i="37"/>
  <c r="E42" i="37"/>
  <c r="F42" i="37"/>
  <c r="G42" i="37"/>
  <c r="H42" i="37"/>
  <c r="D42" i="37"/>
  <c r="J45" i="37" l="1"/>
  <c r="J42" i="37"/>
  <c r="J47" i="37"/>
  <c r="J43" i="37"/>
  <c r="J46" i="37"/>
  <c r="J44" i="37"/>
  <c r="J32" i="30"/>
  <c r="F26" i="48"/>
  <c r="J26" i="48" s="1"/>
  <c r="J43" i="48"/>
  <c r="F42" i="48"/>
  <c r="F41" i="48"/>
  <c r="J36" i="48"/>
  <c r="F36" i="48"/>
  <c r="F25" i="48"/>
  <c r="F51" i="44"/>
  <c r="F43" i="44"/>
  <c r="F44" i="44" s="1"/>
  <c r="D12" i="39"/>
  <c r="J12" i="39"/>
  <c r="E12" i="39"/>
  <c r="E55" i="47"/>
  <c r="J55" i="47" s="1"/>
  <c r="F55" i="47"/>
  <c r="G55" i="47"/>
  <c r="H55" i="47"/>
  <c r="D55" i="47"/>
  <c r="F23" i="27"/>
  <c r="J26" i="44"/>
  <c r="G26" i="44"/>
  <c r="F26" i="44"/>
  <c r="F11" i="44"/>
  <c r="J30" i="27"/>
  <c r="E53" i="39" l="1"/>
  <c r="F53" i="39"/>
  <c r="G53" i="39"/>
  <c r="H53" i="39"/>
  <c r="D53" i="39"/>
  <c r="J52" i="39"/>
  <c r="D52" i="39"/>
  <c r="E52" i="39"/>
  <c r="E51" i="39"/>
  <c r="D51" i="39"/>
  <c r="E50" i="39"/>
  <c r="E41" i="39"/>
  <c r="E38" i="39"/>
  <c r="D38" i="39"/>
  <c r="E37" i="39"/>
  <c r="E36" i="39"/>
  <c r="D36" i="39"/>
  <c r="E35" i="39"/>
  <c r="D34" i="39"/>
  <c r="D33" i="39"/>
  <c r="E59" i="44" l="1"/>
  <c r="H59" i="44"/>
  <c r="D59" i="44"/>
  <c r="E51" i="44"/>
  <c r="G51" i="44"/>
  <c r="G59" i="44" s="1"/>
  <c r="H51" i="44"/>
  <c r="D51" i="44"/>
  <c r="J46" i="40"/>
  <c r="E46" i="40"/>
  <c r="F46" i="40"/>
  <c r="G46" i="40"/>
  <c r="H46" i="40"/>
  <c r="D46" i="40"/>
  <c r="J33" i="40"/>
  <c r="E33" i="40"/>
  <c r="F33" i="40"/>
  <c r="G33" i="40"/>
  <c r="H33" i="40"/>
  <c r="D33" i="40"/>
  <c r="D42" i="48"/>
  <c r="D41" i="48"/>
  <c r="D43" i="48" s="1"/>
  <c r="J41" i="48"/>
  <c r="E36" i="48"/>
  <c r="G36" i="48"/>
  <c r="H36" i="48"/>
  <c r="D36" i="48"/>
  <c r="J25" i="48"/>
  <c r="D25" i="48"/>
  <c r="J58" i="45"/>
  <c r="J53" i="35"/>
  <c r="D47" i="45"/>
  <c r="E48" i="39"/>
  <c r="D48" i="39"/>
  <c r="D26" i="44"/>
  <c r="E23" i="27"/>
  <c r="G23" i="27"/>
  <c r="H23" i="27"/>
  <c r="D23" i="27"/>
  <c r="J48" i="27"/>
  <c r="E43" i="27"/>
  <c r="F43" i="27"/>
  <c r="G43" i="27"/>
  <c r="H43" i="27"/>
  <c r="D43" i="27"/>
  <c r="J23" i="27"/>
  <c r="J16" i="27"/>
  <c r="E16" i="27"/>
  <c r="F16" i="27"/>
  <c r="G16" i="27"/>
  <c r="H16" i="27"/>
  <c r="D16" i="27"/>
  <c r="J11" i="27"/>
  <c r="E11" i="27"/>
  <c r="F11" i="27"/>
  <c r="G11" i="27"/>
  <c r="H11" i="27"/>
  <c r="D11" i="27"/>
  <c r="J19" i="27"/>
  <c r="J37" i="45"/>
  <c r="E37" i="45"/>
  <c r="F37" i="45"/>
  <c r="G37" i="45"/>
  <c r="H37" i="45"/>
  <c r="D37" i="45"/>
  <c r="J45" i="35"/>
  <c r="J46" i="35"/>
  <c r="D46" i="35"/>
  <c r="J11" i="40"/>
  <c r="E11" i="40"/>
  <c r="F11" i="40"/>
  <c r="G11" i="40"/>
  <c r="H11" i="40"/>
  <c r="D11" i="40"/>
  <c r="J43" i="27" l="1"/>
  <c r="D51" i="48"/>
  <c r="D51" i="45"/>
  <c r="J56" i="45"/>
  <c r="H56" i="45"/>
  <c r="G56" i="45"/>
  <c r="G58" i="45" s="1"/>
  <c r="F56" i="45"/>
  <c r="E56" i="45"/>
  <c r="D56" i="45"/>
  <c r="J55" i="45"/>
  <c r="J46" i="45"/>
  <c r="J45" i="45"/>
  <c r="J44" i="45"/>
  <c r="J43" i="45"/>
  <c r="G51" i="45"/>
  <c r="F51" i="45"/>
  <c r="F58" i="45" s="1"/>
  <c r="J36" i="45"/>
  <c r="J35" i="45"/>
  <c r="J34" i="45"/>
  <c r="J33" i="45"/>
  <c r="J32" i="45"/>
  <c r="J30" i="45"/>
  <c r="J29" i="45"/>
  <c r="J28" i="45"/>
  <c r="J27" i="45"/>
  <c r="J26" i="45"/>
  <c r="J25" i="45"/>
  <c r="J24" i="45"/>
  <c r="J23" i="45"/>
  <c r="J22" i="45"/>
  <c r="J21" i="45"/>
  <c r="J20" i="45"/>
  <c r="J19" i="45"/>
  <c r="J18" i="45"/>
  <c r="J17" i="45"/>
  <c r="J14" i="45"/>
  <c r="J15" i="45" s="1"/>
  <c r="J12" i="45"/>
  <c r="H12" i="45"/>
  <c r="H51" i="45" s="1"/>
  <c r="G12" i="45"/>
  <c r="F12" i="45"/>
  <c r="E12" i="45"/>
  <c r="E51" i="45" s="1"/>
  <c r="E58" i="45" s="1"/>
  <c r="D12" i="45"/>
  <c r="J11" i="45"/>
  <c r="H9" i="45"/>
  <c r="G9" i="45"/>
  <c r="F9" i="45"/>
  <c r="E9" i="45"/>
  <c r="D9" i="45"/>
  <c r="J8" i="45"/>
  <c r="J9" i="45" s="1"/>
  <c r="H58" i="45" l="1"/>
  <c r="J51" i="45"/>
  <c r="D58" i="45"/>
  <c r="J47" i="45"/>
  <c r="H60" i="39"/>
  <c r="G60" i="39"/>
  <c r="F60" i="39"/>
  <c r="J59" i="39"/>
  <c r="H48" i="39"/>
  <c r="G48" i="39"/>
  <c r="F48" i="39"/>
  <c r="J47" i="39"/>
  <c r="J46" i="39"/>
  <c r="J45" i="39"/>
  <c r="J44" i="39"/>
  <c r="J43" i="39"/>
  <c r="J42" i="39"/>
  <c r="J41" i="39"/>
  <c r="J40" i="39"/>
  <c r="J39" i="39"/>
  <c r="J38" i="39"/>
  <c r="J37" i="39"/>
  <c r="J36" i="39"/>
  <c r="J35" i="39"/>
  <c r="J34" i="39"/>
  <c r="J33" i="39"/>
  <c r="J30" i="39"/>
  <c r="H30" i="39"/>
  <c r="G30" i="39"/>
  <c r="F30" i="39"/>
  <c r="E30" i="39"/>
  <c r="D30" i="39"/>
  <c r="J29" i="39"/>
  <c r="J28" i="39"/>
  <c r="H26" i="39"/>
  <c r="G26" i="39"/>
  <c r="F26" i="39"/>
  <c r="E26" i="39"/>
  <c r="D26" i="39"/>
  <c r="J25" i="39"/>
  <c r="J24" i="39"/>
  <c r="J26" i="39" s="1"/>
  <c r="H22" i="39"/>
  <c r="G22" i="39"/>
  <c r="F22" i="39"/>
  <c r="E22" i="39"/>
  <c r="D22" i="39"/>
  <c r="J21" i="39"/>
  <c r="J20" i="39"/>
  <c r="J19" i="39"/>
  <c r="J22" i="39" s="1"/>
  <c r="H17" i="39"/>
  <c r="G17" i="39"/>
  <c r="F17" i="39"/>
  <c r="J16" i="39"/>
  <c r="J15" i="39"/>
  <c r="H12" i="39"/>
  <c r="G12" i="39"/>
  <c r="F12" i="39"/>
  <c r="J11" i="39"/>
  <c r="J10" i="39"/>
  <c r="J9" i="39"/>
  <c r="E14" i="39"/>
  <c r="E17" i="39" s="1"/>
  <c r="D8" i="39"/>
  <c r="J8" i="39" s="1"/>
  <c r="H54" i="39" l="1"/>
  <c r="G54" i="39"/>
  <c r="H62" i="39"/>
  <c r="F54" i="39"/>
  <c r="J48" i="39"/>
  <c r="D14" i="39"/>
  <c r="G62" i="39" l="1"/>
  <c r="F62" i="39"/>
  <c r="J14" i="39"/>
  <c r="J17" i="39" s="1"/>
  <c r="D17" i="39"/>
  <c r="J51" i="39"/>
  <c r="E54" i="39" l="1"/>
  <c r="J53" i="39"/>
  <c r="D54" i="39"/>
  <c r="D57" i="39" s="1"/>
  <c r="D60" i="39" s="1"/>
  <c r="J50" i="39"/>
  <c r="E57" i="39" l="1"/>
  <c r="J54" i="39"/>
  <c r="D62" i="39"/>
  <c r="D26" i="48"/>
  <c r="E26" i="48"/>
  <c r="H26" i="48"/>
  <c r="G26" i="48"/>
  <c r="H48" i="48"/>
  <c r="G48" i="48"/>
  <c r="F48" i="48"/>
  <c r="E48" i="48"/>
  <c r="D48" i="48"/>
  <c r="J47" i="48"/>
  <c r="J46" i="48"/>
  <c r="J48" i="48" s="1"/>
  <c r="H41" i="48"/>
  <c r="G41" i="48"/>
  <c r="E41" i="48"/>
  <c r="J40" i="48"/>
  <c r="J39" i="48"/>
  <c r="J38" i="48"/>
  <c r="J35" i="48"/>
  <c r="J34" i="48"/>
  <c r="J33" i="48"/>
  <c r="J32" i="48"/>
  <c r="H30" i="48"/>
  <c r="G30" i="48"/>
  <c r="F30" i="48"/>
  <c r="E30" i="48"/>
  <c r="E42" i="48" s="1"/>
  <c r="E50" i="48" s="1"/>
  <c r="D30" i="48"/>
  <c r="J29" i="48"/>
  <c r="J30" i="48" s="1"/>
  <c r="J28" i="48"/>
  <c r="H25" i="48"/>
  <c r="G25" i="48"/>
  <c r="E25" i="48"/>
  <c r="J24" i="48"/>
  <c r="J23" i="48"/>
  <c r="J22" i="48"/>
  <c r="H20" i="48"/>
  <c r="G20" i="48"/>
  <c r="F20" i="48"/>
  <c r="E20" i="48"/>
  <c r="D20" i="48"/>
  <c r="J19" i="48"/>
  <c r="J18" i="48"/>
  <c r="J20" i="48" s="1"/>
  <c r="H16" i="48"/>
  <c r="G16" i="48"/>
  <c r="F16" i="48"/>
  <c r="E16" i="48"/>
  <c r="D16" i="48"/>
  <c r="J15" i="48"/>
  <c r="J14" i="48"/>
  <c r="J13" i="48"/>
  <c r="J16" i="48" s="1"/>
  <c r="H11" i="48"/>
  <c r="G11" i="48"/>
  <c r="F11" i="48"/>
  <c r="E11" i="48"/>
  <c r="D11" i="48"/>
  <c r="J10" i="48"/>
  <c r="J9" i="48"/>
  <c r="J8" i="48"/>
  <c r="E60" i="39" l="1"/>
  <c r="J57" i="39"/>
  <c r="E43" i="48"/>
  <c r="E51" i="48" s="1"/>
  <c r="G42" i="48"/>
  <c r="H42" i="48"/>
  <c r="H43" i="48" s="1"/>
  <c r="J11" i="48"/>
  <c r="H50" i="48"/>
  <c r="D50" i="48"/>
  <c r="E62" i="39" l="1"/>
  <c r="J60" i="39"/>
  <c r="J62" i="39" s="1"/>
  <c r="D44" i="30" s="1"/>
  <c r="F50" i="48"/>
  <c r="F43" i="48"/>
  <c r="F51" i="48" s="1"/>
  <c r="G50" i="48"/>
  <c r="G43" i="48"/>
  <c r="G51" i="48" s="1"/>
  <c r="H51" i="48"/>
  <c r="J42" i="48"/>
  <c r="J50" i="48" s="1"/>
  <c r="E40" i="27"/>
  <c r="F40" i="27"/>
  <c r="G40" i="27"/>
  <c r="H40" i="27"/>
  <c r="D40" i="27"/>
  <c r="D15" i="27"/>
  <c r="E10" i="27"/>
  <c r="F10" i="27"/>
  <c r="G10" i="27"/>
  <c r="H10" i="27"/>
  <c r="D10" i="27"/>
  <c r="E39" i="37"/>
  <c r="E51" i="37" s="1"/>
  <c r="F39" i="37"/>
  <c r="F51" i="37" s="1"/>
  <c r="G39" i="37"/>
  <c r="G51" i="37" s="1"/>
  <c r="H39" i="37"/>
  <c r="H51" i="37" s="1"/>
  <c r="D39" i="37"/>
  <c r="D30" i="37"/>
  <c r="D32" i="37" s="1"/>
  <c r="D27" i="30" s="1"/>
  <c r="D20" i="37"/>
  <c r="E13" i="37"/>
  <c r="F13" i="37"/>
  <c r="G13" i="37"/>
  <c r="H13" i="37"/>
  <c r="D13" i="37"/>
  <c r="J51" i="48" l="1"/>
  <c r="D41" i="30" s="1"/>
  <c r="J31" i="37"/>
  <c r="E32" i="37"/>
  <c r="E27" i="30" s="1"/>
  <c r="F32" i="37"/>
  <c r="F27" i="30" s="1"/>
  <c r="G32" i="37"/>
  <c r="G27" i="30" s="1"/>
  <c r="H32" i="37"/>
  <c r="H27" i="30" s="1"/>
  <c r="J9" i="37"/>
  <c r="J10" i="37"/>
  <c r="J12" i="37"/>
  <c r="J13" i="37"/>
  <c r="J8" i="37"/>
  <c r="J32" i="37" l="1"/>
  <c r="H43" i="44" l="1"/>
  <c r="H44" i="44" s="1"/>
  <c r="D16" i="40"/>
  <c r="E18" i="37"/>
  <c r="F18" i="37"/>
  <c r="G18" i="37"/>
  <c r="H18" i="37"/>
  <c r="D18" i="37"/>
  <c r="E36" i="47"/>
  <c r="F36" i="47"/>
  <c r="G36" i="47"/>
  <c r="H36" i="47"/>
  <c r="D36" i="47"/>
  <c r="J18" i="37" l="1"/>
  <c r="J39" i="37"/>
  <c r="J30" i="37"/>
  <c r="E16" i="37"/>
  <c r="F16" i="37"/>
  <c r="G16" i="37"/>
  <c r="H16" i="37"/>
  <c r="E17" i="37"/>
  <c r="F17" i="37"/>
  <c r="G17" i="37"/>
  <c r="H17" i="37"/>
  <c r="E20" i="37"/>
  <c r="J20" i="37" s="1"/>
  <c r="F20" i="37"/>
  <c r="G20" i="37"/>
  <c r="H20" i="37"/>
  <c r="D17" i="37"/>
  <c r="D16" i="37"/>
  <c r="E21" i="37"/>
  <c r="F21" i="37"/>
  <c r="G21" i="37"/>
  <c r="H21" i="37"/>
  <c r="D21" i="37"/>
  <c r="E11" i="37"/>
  <c r="F11" i="37"/>
  <c r="G11" i="37"/>
  <c r="H11" i="37"/>
  <c r="D11" i="37"/>
  <c r="D14" i="37" s="1"/>
  <c r="D23" i="30" s="1"/>
  <c r="H13" i="27"/>
  <c r="H14" i="27"/>
  <c r="H15" i="27"/>
  <c r="G13" i="27"/>
  <c r="G14" i="27"/>
  <c r="G15" i="27"/>
  <c r="F13" i="27"/>
  <c r="F14" i="27"/>
  <c r="F15" i="27"/>
  <c r="E13" i="27"/>
  <c r="E14" i="27"/>
  <c r="E15" i="27"/>
  <c r="D13" i="27"/>
  <c r="D14" i="27"/>
  <c r="J8" i="27"/>
  <c r="J9" i="27"/>
  <c r="J10" i="27"/>
  <c r="F19" i="37" l="1"/>
  <c r="F22" i="37" s="1"/>
  <c r="F24" i="30" s="1"/>
  <c r="F14" i="37"/>
  <c r="E19" i="37"/>
  <c r="E22" i="37" s="1"/>
  <c r="E24" i="30" s="1"/>
  <c r="E14" i="37"/>
  <c r="D7" i="30"/>
  <c r="H19" i="37"/>
  <c r="H14" i="37"/>
  <c r="G19" i="37"/>
  <c r="G22" i="37" s="1"/>
  <c r="G24" i="30" s="1"/>
  <c r="G14" i="37"/>
  <c r="H22" i="37"/>
  <c r="H24" i="30" s="1"/>
  <c r="J13" i="27"/>
  <c r="J15" i="27"/>
  <c r="J16" i="37"/>
  <c r="J17" i="37"/>
  <c r="D19" i="37"/>
  <c r="J11" i="37"/>
  <c r="J21" i="37"/>
  <c r="J14" i="27"/>
  <c r="G7" i="30" l="1"/>
  <c r="G23" i="30"/>
  <c r="H7" i="30"/>
  <c r="H23" i="30"/>
  <c r="E7" i="30"/>
  <c r="E23" i="30"/>
  <c r="F7" i="30"/>
  <c r="F23" i="30"/>
  <c r="J14" i="37"/>
  <c r="J19" i="37"/>
  <c r="D22" i="37"/>
  <c r="D24" i="30" s="1"/>
  <c r="J49" i="47"/>
  <c r="J50" i="47"/>
  <c r="J51" i="47"/>
  <c r="J52" i="47"/>
  <c r="J44" i="47"/>
  <c r="J45" i="47"/>
  <c r="J46" i="47"/>
  <c r="J43" i="47"/>
  <c r="F39" i="44"/>
  <c r="L41" i="44"/>
  <c r="J22" i="37" l="1"/>
  <c r="D56" i="37"/>
  <c r="L40" i="44"/>
  <c r="L42" i="44" s="1"/>
  <c r="G16" i="47" l="1"/>
  <c r="D16" i="47"/>
  <c r="E16" i="47"/>
  <c r="J39" i="47"/>
  <c r="D53" i="47"/>
  <c r="J53" i="47" s="1"/>
  <c r="J30" i="47"/>
  <c r="I62" i="47"/>
  <c r="D47" i="47"/>
  <c r="H40" i="47"/>
  <c r="H56" i="47" s="1"/>
  <c r="G40" i="47"/>
  <c r="G56" i="47" s="1"/>
  <c r="F40" i="47"/>
  <c r="F56" i="47" s="1"/>
  <c r="E40" i="47"/>
  <c r="E56" i="47" s="1"/>
  <c r="D40" i="47"/>
  <c r="D56" i="47" s="1"/>
  <c r="H32" i="47"/>
  <c r="G32" i="47"/>
  <c r="F32" i="47"/>
  <c r="E32" i="47"/>
  <c r="D32" i="47"/>
  <c r="J29" i="47"/>
  <c r="H27" i="47"/>
  <c r="G27" i="47"/>
  <c r="F27" i="47"/>
  <c r="E27" i="47"/>
  <c r="D27" i="47"/>
  <c r="J27" i="47" s="1"/>
  <c r="I16" i="47"/>
  <c r="F16" i="47"/>
  <c r="J15" i="47"/>
  <c r="J14" i="47"/>
  <c r="I11" i="47"/>
  <c r="H11" i="47"/>
  <c r="G11" i="47"/>
  <c r="G60" i="47" s="1"/>
  <c r="F11" i="47"/>
  <c r="F60" i="47" s="1"/>
  <c r="E11" i="47"/>
  <c r="E60" i="47" s="1"/>
  <c r="D11" i="47"/>
  <c r="J10" i="47"/>
  <c r="J9" i="47"/>
  <c r="D40" i="30"/>
  <c r="J56" i="47" l="1"/>
  <c r="J47" i="47"/>
  <c r="D60" i="47"/>
  <c r="J16" i="47"/>
  <c r="H16" i="47"/>
  <c r="J32" i="47"/>
  <c r="J11" i="47"/>
  <c r="J40" i="47"/>
  <c r="J36" i="47"/>
  <c r="F62" i="47" l="1"/>
  <c r="E62" i="47"/>
  <c r="G62" i="47"/>
  <c r="G49" i="37" l="1"/>
  <c r="G50" i="37" s="1"/>
  <c r="E49" i="37"/>
  <c r="E50" i="37" s="1"/>
  <c r="F49" i="37"/>
  <c r="F50" i="37" s="1"/>
  <c r="H60" i="47"/>
  <c r="D62" i="47"/>
  <c r="D8" i="44"/>
  <c r="D11" i="44" s="1"/>
  <c r="D9" i="44"/>
  <c r="E9" i="44"/>
  <c r="F9" i="44"/>
  <c r="G9" i="44"/>
  <c r="G11" i="44" s="1"/>
  <c r="H9" i="44"/>
  <c r="D13" i="44"/>
  <c r="E13" i="44"/>
  <c r="E16" i="44" s="1"/>
  <c r="E8" i="30" s="1"/>
  <c r="F13" i="44"/>
  <c r="F16" i="44" s="1"/>
  <c r="F8" i="30" s="1"/>
  <c r="G13" i="44"/>
  <c r="G16" i="44" s="1"/>
  <c r="G8" i="30" s="1"/>
  <c r="J14" i="44"/>
  <c r="J15" i="44"/>
  <c r="J19" i="44"/>
  <c r="J20" i="44"/>
  <c r="J21" i="44"/>
  <c r="J22" i="44"/>
  <c r="J23" i="44"/>
  <c r="J24" i="44"/>
  <c r="J25" i="44"/>
  <c r="E26" i="44"/>
  <c r="H26" i="44"/>
  <c r="J28" i="44"/>
  <c r="J29" i="44"/>
  <c r="D30" i="44"/>
  <c r="E30" i="44"/>
  <c r="F30" i="44"/>
  <c r="G30" i="44"/>
  <c r="H30" i="44"/>
  <c r="J32" i="44"/>
  <c r="J33" i="44"/>
  <c r="D34" i="44"/>
  <c r="E34" i="44"/>
  <c r="E11" i="30" s="1"/>
  <c r="F34" i="44"/>
  <c r="F11" i="30" s="1"/>
  <c r="G34" i="44"/>
  <c r="G11" i="30" s="1"/>
  <c r="H34" i="44"/>
  <c r="H11" i="30" s="1"/>
  <c r="D39" i="44"/>
  <c r="D43" i="44" s="1"/>
  <c r="E39" i="44"/>
  <c r="E43" i="44" s="1"/>
  <c r="E44" i="44" s="1"/>
  <c r="D36" i="44"/>
  <c r="E36" i="44"/>
  <c r="F36" i="44"/>
  <c r="E40" i="44"/>
  <c r="J41" i="44"/>
  <c r="J38" i="44"/>
  <c r="J42" i="44"/>
  <c r="H46" i="44"/>
  <c r="H49" i="44" s="1"/>
  <c r="J47" i="44"/>
  <c r="J48" i="44"/>
  <c r="J54" i="44"/>
  <c r="J55" i="44"/>
  <c r="D56" i="44"/>
  <c r="E56" i="44"/>
  <c r="F56" i="44"/>
  <c r="G56" i="44"/>
  <c r="H56" i="44"/>
  <c r="F29" i="30" l="1"/>
  <c r="F30" i="30"/>
  <c r="F34" i="30" s="1"/>
  <c r="E29" i="30"/>
  <c r="E30" i="30"/>
  <c r="E34" i="30" s="1"/>
  <c r="G29" i="30"/>
  <c r="G30" i="30"/>
  <c r="G34" i="30" s="1"/>
  <c r="H13" i="44"/>
  <c r="H16" i="44" s="1"/>
  <c r="H8" i="30" s="1"/>
  <c r="H11" i="44"/>
  <c r="D44" i="44"/>
  <c r="J34" i="44"/>
  <c r="J60" i="47"/>
  <c r="J62" i="47" s="1"/>
  <c r="D45" i="30" s="1"/>
  <c r="H62" i="47"/>
  <c r="J30" i="44"/>
  <c r="J13" i="44"/>
  <c r="H50" i="44"/>
  <c r="D16" i="44"/>
  <c r="J9" i="44"/>
  <c r="J39" i="44"/>
  <c r="E8" i="44"/>
  <c r="J36" i="44"/>
  <c r="G40" i="44"/>
  <c r="G43" i="44" s="1"/>
  <c r="G44" i="44" s="1"/>
  <c r="J56" i="44"/>
  <c r="F40" i="44"/>
  <c r="H49" i="37" l="1"/>
  <c r="H50" i="37" s="1"/>
  <c r="J44" i="44"/>
  <c r="D8" i="30"/>
  <c r="J16" i="44"/>
  <c r="H58" i="44"/>
  <c r="F8" i="44"/>
  <c r="E11" i="44"/>
  <c r="J43" i="44"/>
  <c r="J40" i="44"/>
  <c r="D46" i="44"/>
  <c r="D49" i="44" s="1"/>
  <c r="E37" i="44"/>
  <c r="G37" i="44"/>
  <c r="G46" i="44" s="1"/>
  <c r="F37" i="44"/>
  <c r="F46" i="44" s="1"/>
  <c r="H29" i="30" l="1"/>
  <c r="H30" i="30"/>
  <c r="H34" i="30" s="1"/>
  <c r="J53" i="37"/>
  <c r="D30" i="30"/>
  <c r="D29" i="30"/>
  <c r="J50" i="37"/>
  <c r="J48" i="37"/>
  <c r="J7" i="30"/>
  <c r="J11" i="44"/>
  <c r="J8" i="44"/>
  <c r="D50" i="44"/>
  <c r="D58" i="44" s="1"/>
  <c r="D13" i="30"/>
  <c r="F49" i="44"/>
  <c r="G49" i="44"/>
  <c r="J37" i="44"/>
  <c r="F59" i="44" l="1"/>
  <c r="K16" i="44"/>
  <c r="G50" i="44"/>
  <c r="F50" i="44"/>
  <c r="F13" i="30"/>
  <c r="E46" i="44"/>
  <c r="E49" i="44" s="1"/>
  <c r="F58" i="44" l="1"/>
  <c r="G58" i="44"/>
  <c r="J49" i="44"/>
  <c r="J46" i="44"/>
  <c r="E50" i="44" l="1"/>
  <c r="J51" i="44" l="1"/>
  <c r="E58" i="44"/>
  <c r="J50" i="44"/>
  <c r="J58" i="44" s="1"/>
  <c r="J59" i="44" l="1"/>
  <c r="D43" i="30" s="1"/>
  <c r="H21" i="27"/>
  <c r="G21" i="27"/>
  <c r="F21" i="27"/>
  <c r="E21" i="27"/>
  <c r="D21" i="27"/>
  <c r="H20" i="27"/>
  <c r="G20" i="27"/>
  <c r="F20" i="27"/>
  <c r="E20" i="27"/>
  <c r="D20" i="27"/>
  <c r="H19" i="27"/>
  <c r="G19" i="27"/>
  <c r="F19" i="27"/>
  <c r="E19" i="27"/>
  <c r="D19" i="27"/>
  <c r="H51" i="40" l="1"/>
  <c r="G51" i="40"/>
  <c r="F51" i="40"/>
  <c r="E51" i="40"/>
  <c r="D51" i="40"/>
  <c r="J50" i="40"/>
  <c r="J49" i="40"/>
  <c r="J51" i="40" s="1"/>
  <c r="H45" i="40"/>
  <c r="G45" i="40"/>
  <c r="F45" i="40"/>
  <c r="E45" i="40"/>
  <c r="D45" i="40"/>
  <c r="J44" i="40"/>
  <c r="J43" i="40"/>
  <c r="J42" i="40"/>
  <c r="J45" i="40" s="1"/>
  <c r="J31" i="40"/>
  <c r="J30" i="40"/>
  <c r="J29" i="40"/>
  <c r="H28" i="40"/>
  <c r="G28" i="40"/>
  <c r="F28" i="40"/>
  <c r="E28" i="40"/>
  <c r="D28" i="40"/>
  <c r="H37" i="40"/>
  <c r="G37" i="40"/>
  <c r="F37" i="40"/>
  <c r="E37" i="40"/>
  <c r="D37" i="40"/>
  <c r="J36" i="40"/>
  <c r="J35" i="40"/>
  <c r="H26" i="40"/>
  <c r="G26" i="40"/>
  <c r="F26" i="40"/>
  <c r="E26" i="40"/>
  <c r="D26" i="40"/>
  <c r="J25" i="40"/>
  <c r="J24" i="40"/>
  <c r="J23" i="40"/>
  <c r="J22" i="40"/>
  <c r="J21" i="40"/>
  <c r="J20" i="40"/>
  <c r="J19" i="40"/>
  <c r="J18" i="40"/>
  <c r="J15" i="40"/>
  <c r="J14" i="40"/>
  <c r="D13" i="40"/>
  <c r="J10" i="40"/>
  <c r="E9" i="40"/>
  <c r="E8" i="40"/>
  <c r="J37" i="40" l="1"/>
  <c r="F8" i="40"/>
  <c r="G8" i="40" s="1"/>
  <c r="J26" i="40"/>
  <c r="F9" i="40"/>
  <c r="G9" i="40" s="1"/>
  <c r="H9" i="40" s="1"/>
  <c r="E13" i="40"/>
  <c r="E16" i="40" s="1"/>
  <c r="J28" i="40"/>
  <c r="F13" i="40"/>
  <c r="F16" i="40" s="1"/>
  <c r="G13" i="40"/>
  <c r="G16" i="40" s="1"/>
  <c r="H8" i="40"/>
  <c r="H13" i="40" l="1"/>
  <c r="D53" i="40"/>
  <c r="J9" i="40"/>
  <c r="J8" i="40"/>
  <c r="E53" i="40" l="1"/>
  <c r="H16" i="40"/>
  <c r="J13" i="40"/>
  <c r="J16" i="40" s="1"/>
  <c r="G53" i="40" l="1"/>
  <c r="F53" i="40"/>
  <c r="H53" i="40" l="1"/>
  <c r="J53" i="40"/>
  <c r="D42" i="30" s="1"/>
  <c r="J8" i="30" l="1"/>
  <c r="J26" i="37"/>
  <c r="I57" i="37" l="1"/>
  <c r="H13" i="30"/>
  <c r="G13" i="30"/>
  <c r="H37" i="37"/>
  <c r="G37" i="37"/>
  <c r="F37" i="37"/>
  <c r="E37" i="37"/>
  <c r="H28" i="37"/>
  <c r="G28" i="37"/>
  <c r="F28" i="37"/>
  <c r="E28" i="37"/>
  <c r="D28" i="37"/>
  <c r="J27" i="37"/>
  <c r="H25" i="37"/>
  <c r="H9" i="30" s="1"/>
  <c r="G25" i="37"/>
  <c r="G9" i="30" s="1"/>
  <c r="F25" i="37"/>
  <c r="F9" i="30" s="1"/>
  <c r="E25" i="37"/>
  <c r="E9" i="30" s="1"/>
  <c r="D25" i="37"/>
  <c r="I12" i="37"/>
  <c r="G10" i="30" l="1"/>
  <c r="G26" i="30"/>
  <c r="D12" i="30"/>
  <c r="D28" i="30"/>
  <c r="H10" i="30"/>
  <c r="H26" i="30"/>
  <c r="H12" i="30"/>
  <c r="H28" i="30"/>
  <c r="D9" i="30"/>
  <c r="J9" i="30" s="1"/>
  <c r="E12" i="30"/>
  <c r="E28" i="30"/>
  <c r="F12" i="30"/>
  <c r="F28" i="30"/>
  <c r="G12" i="30"/>
  <c r="G28" i="30"/>
  <c r="D10" i="30"/>
  <c r="D26" i="30"/>
  <c r="E10" i="30"/>
  <c r="E26" i="30"/>
  <c r="F10" i="30"/>
  <c r="F26" i="30"/>
  <c r="J10" i="30"/>
  <c r="J51" i="37"/>
  <c r="E13" i="30"/>
  <c r="J13" i="30" s="1"/>
  <c r="F56" i="37"/>
  <c r="E56" i="37"/>
  <c r="G56" i="37"/>
  <c r="H56" i="37"/>
  <c r="D58" i="37"/>
  <c r="J37" i="37"/>
  <c r="J28" i="37"/>
  <c r="J25" i="37"/>
  <c r="F52" i="37"/>
  <c r="E52" i="37"/>
  <c r="E14" i="30" s="1"/>
  <c r="G52" i="37"/>
  <c r="G14" i="30" s="1"/>
  <c r="H52" i="37"/>
  <c r="H14" i="30" s="1"/>
  <c r="J12" i="30" l="1"/>
  <c r="D14" i="30"/>
  <c r="H58" i="37"/>
  <c r="H60" i="37" s="1"/>
  <c r="G58" i="37"/>
  <c r="G60" i="37" s="1"/>
  <c r="F58" i="37"/>
  <c r="F60" i="37" s="1"/>
  <c r="F14" i="30"/>
  <c r="E58" i="37"/>
  <c r="E60" i="37" s="1"/>
  <c r="J56" i="37"/>
  <c r="D60" i="37"/>
  <c r="J14" i="30" l="1"/>
  <c r="J34" i="30"/>
  <c r="D34" i="30"/>
  <c r="J58" i="37"/>
  <c r="D47" i="30"/>
  <c r="J8" i="35"/>
  <c r="J9" i="35"/>
  <c r="J10" i="35"/>
  <c r="D11" i="35"/>
  <c r="E11" i="35"/>
  <c r="F11" i="35"/>
  <c r="G11" i="35"/>
  <c r="H11" i="35"/>
  <c r="J11" i="35"/>
  <c r="J13" i="35"/>
  <c r="J14" i="35"/>
  <c r="J15" i="35"/>
  <c r="D16" i="35"/>
  <c r="E16" i="35"/>
  <c r="F16" i="35"/>
  <c r="G16" i="35"/>
  <c r="H16" i="35"/>
  <c r="J16" i="35"/>
  <c r="J18" i="35"/>
  <c r="J26" i="35" s="1"/>
  <c r="J19" i="35"/>
  <c r="J20" i="35"/>
  <c r="J21" i="35"/>
  <c r="J22" i="35"/>
  <c r="J23" i="35"/>
  <c r="J24" i="35"/>
  <c r="J25" i="35"/>
  <c r="D26" i="35"/>
  <c r="E26" i="35"/>
  <c r="F26" i="35"/>
  <c r="G26" i="35"/>
  <c r="H26" i="35"/>
  <c r="H46" i="35" s="1"/>
  <c r="H51" i="35" s="1"/>
  <c r="J28" i="35"/>
  <c r="J30" i="35" s="1"/>
  <c r="J29" i="35"/>
  <c r="D30" i="35"/>
  <c r="E30" i="35"/>
  <c r="F30" i="35"/>
  <c r="G30" i="35"/>
  <c r="H30" i="35"/>
  <c r="J32" i="35"/>
  <c r="J33" i="35"/>
  <c r="D34" i="35"/>
  <c r="E34" i="35"/>
  <c r="F34" i="35"/>
  <c r="G34" i="35"/>
  <c r="H34" i="35"/>
  <c r="J34" i="35"/>
  <c r="J36" i="35"/>
  <c r="J37" i="35"/>
  <c r="J38" i="35"/>
  <c r="J40" i="35" s="1"/>
  <c r="J39" i="35"/>
  <c r="D40" i="35"/>
  <c r="E40" i="35"/>
  <c r="F40" i="35"/>
  <c r="G40" i="35"/>
  <c r="H40" i="35"/>
  <c r="J42" i="35"/>
  <c r="J43" i="35"/>
  <c r="J44" i="35"/>
  <c r="D45" i="35"/>
  <c r="E45" i="35"/>
  <c r="F45" i="35"/>
  <c r="F46" i="35" s="1"/>
  <c r="F51" i="35" s="1"/>
  <c r="G45" i="35"/>
  <c r="G46" i="35" s="1"/>
  <c r="G51" i="35" s="1"/>
  <c r="H45" i="35"/>
  <c r="E46" i="35"/>
  <c r="E51" i="35" s="1"/>
  <c r="J50" i="35"/>
  <c r="H53" i="35" l="1"/>
  <c r="G53" i="35"/>
  <c r="F53" i="35"/>
  <c r="E53" i="35"/>
  <c r="J49" i="35" l="1"/>
  <c r="J51" i="35" s="1"/>
  <c r="D39" i="30" s="1"/>
  <c r="D51" i="35"/>
  <c r="D53" i="35" l="1"/>
  <c r="J32" i="27"/>
  <c r="J33" i="27"/>
  <c r="J34" i="27"/>
  <c r="J35" i="27"/>
  <c r="I50" i="27"/>
  <c r="H42" i="27"/>
  <c r="G42" i="27"/>
  <c r="F42" i="27"/>
  <c r="E42" i="27"/>
  <c r="D42" i="27"/>
  <c r="J40" i="27"/>
  <c r="J39" i="27"/>
  <c r="H37" i="27"/>
  <c r="G37" i="27"/>
  <c r="F37" i="27"/>
  <c r="E37" i="27"/>
  <c r="D37" i="27"/>
  <c r="J36" i="27"/>
  <c r="H30" i="27"/>
  <c r="G30" i="27"/>
  <c r="F30" i="27"/>
  <c r="E30" i="27"/>
  <c r="D30" i="27"/>
  <c r="D11" i="30" s="1"/>
  <c r="J11" i="30" s="1"/>
  <c r="J28" i="27"/>
  <c r="H27" i="27"/>
  <c r="G27" i="27"/>
  <c r="F27" i="27"/>
  <c r="E27" i="27"/>
  <c r="D27" i="27"/>
  <c r="J21" i="27"/>
  <c r="J20" i="27"/>
  <c r="I16" i="27"/>
  <c r="I11" i="27"/>
  <c r="J37" i="27" l="1"/>
  <c r="J27" i="27"/>
  <c r="J42" i="27"/>
  <c r="E46" i="27" l="1"/>
  <c r="E48" i="27" s="1"/>
  <c r="E16" i="30" s="1"/>
  <c r="G46" i="27"/>
  <c r="G48" i="27" s="1"/>
  <c r="G16" i="30" s="1"/>
  <c r="F46" i="27"/>
  <c r="F48" i="27" s="1"/>
  <c r="F16" i="30" s="1"/>
  <c r="H46" i="27"/>
  <c r="H48" i="27" s="1"/>
  <c r="H16" i="30" s="1"/>
  <c r="D46" i="27"/>
  <c r="E50" i="27" l="1"/>
  <c r="E18" i="30"/>
  <c r="G50" i="27"/>
  <c r="G18" i="30"/>
  <c r="F50" i="27"/>
  <c r="F18" i="30"/>
  <c r="H50" i="27"/>
  <c r="H18" i="30"/>
  <c r="D48" i="27"/>
  <c r="J46" i="27"/>
  <c r="D50" i="27" l="1"/>
  <c r="D16" i="30"/>
  <c r="D18" i="30" s="1"/>
  <c r="J16" i="30" l="1"/>
  <c r="J50" i="27"/>
  <c r="D46" i="30" s="1"/>
  <c r="D48" i="30" s="1"/>
  <c r="J18" i="30" l="1"/>
  <c r="K9" i="30" s="1"/>
  <c r="K12" i="30"/>
  <c r="K8" i="30"/>
  <c r="K11" i="30"/>
  <c r="K13" i="30"/>
  <c r="K7" i="30"/>
  <c r="K14" i="30"/>
  <c r="E40" i="30"/>
  <c r="E41" i="30"/>
  <c r="E47" i="30"/>
  <c r="E39" i="30"/>
  <c r="E43" i="30"/>
  <c r="E45" i="30"/>
  <c r="I41" i="30" s="1"/>
  <c r="E44" i="30"/>
  <c r="E42" i="30"/>
  <c r="E48" i="30"/>
  <c r="E46" i="30"/>
  <c r="K10" i="30" l="1"/>
  <c r="K23" i="30"/>
  <c r="K27" i="30"/>
  <c r="K26" i="30"/>
  <c r="K29" i="30"/>
  <c r="K24" i="30"/>
  <c r="K28" i="30"/>
  <c r="K32" i="30"/>
  <c r="K25" i="30"/>
  <c r="K30" i="30"/>
  <c r="K16" i="30"/>
  <c r="I38" i="30"/>
  <c r="I44" i="30"/>
  <c r="I40" i="30"/>
  <c r="I39" i="30"/>
</calcChain>
</file>

<file path=xl/sharedStrings.xml><?xml version="1.0" encoding="utf-8"?>
<sst xmlns="http://schemas.openxmlformats.org/spreadsheetml/2006/main" count="698" uniqueCount="261">
  <si>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</si>
  <si>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</si>
  <si>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</si>
  <si>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</si>
  <si>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</si>
  <si>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</si>
  <si>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</si>
  <si>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</si>
  <si>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</si>
  <si>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</si>
  <si>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</si>
  <si>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</si>
  <si>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</si>
  <si>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</si>
  <si>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</si>
  <si>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</si>
  <si>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</si>
  <si>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</si>
  <si>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</si>
  <si>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</si>
  <si>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</si>
  <si>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</si>
  <si>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</si>
  <si>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</si>
  <si>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</si>
  <si>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</si>
  <si>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Total</t>
  </si>
  <si>
    <t>Personnel</t>
  </si>
  <si>
    <t> </t>
  </si>
  <si>
    <t xml:space="preserve"> Fringe Benefits </t>
  </si>
  <si>
    <t xml:space="preserve"> Travel </t>
  </si>
  <si>
    <t xml:space="preserve"> Equipment </t>
  </si>
  <si>
    <t xml:space="preserve"> </t>
  </si>
  <si>
    <t xml:space="preserve"> Supplies </t>
  </si>
  <si>
    <t xml:space="preserve"> Contractual </t>
  </si>
  <si>
    <t>OTHER</t>
  </si>
  <si>
    <t>Indirect Costs</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</si>
  <si>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</si>
  <si>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</si>
  <si>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</si>
  <si>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</si>
  <si>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</si>
  <si>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</si>
  <si>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</si>
  <si>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</si>
  <si>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</si>
  <si>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 xml:space="preserve">Supplies </t>
  </si>
  <si>
    <t>Other Consulting Services (incl. energy conservation, records, civil engineering, etc.)</t>
  </si>
  <si>
    <t>Hydrogen Fueling Station for Locomotives</t>
  </si>
  <si>
    <t xml:space="preserve">TOTAL FRINGE BENEFITS  </t>
  </si>
  <si>
    <t xml:space="preserve">TOTAL TRAVEL </t>
  </si>
  <si>
    <t xml:space="preserve">TOTAL EQUIPMENT </t>
  </si>
  <si>
    <t xml:space="preserve">TOTAL SUPPLIES </t>
  </si>
  <si>
    <t xml:space="preserve">TOTAL CONTRACTUAL </t>
  </si>
  <si>
    <t xml:space="preserve">A Pre-Engineered 40,000sq. ft. Building (at $175p/sq. ft.) </t>
  </si>
  <si>
    <t>A Pre-Made Dry Blast Booth (incl. building insert &amp; enclosure work)</t>
  </si>
  <si>
    <t>Additional Consulting Services (incl. Hazmat and GeoTechnical Surveying)</t>
  </si>
  <si>
    <t>Site Prep (incl. excavation, rock, track install plus power, water, &amp; sewer)</t>
  </si>
  <si>
    <t>Inland barge</t>
  </si>
  <si>
    <t>Spud barge</t>
  </si>
  <si>
    <t>Vehicle-to-Load (V2L) systems development  (software, communications/controls, hardware)</t>
  </si>
  <si>
    <t>VMT reduction through water transportation</t>
  </si>
  <si>
    <t>Enable decarbonization of rail infrastructure</t>
  </si>
  <si>
    <t>Commerce Program Administration</t>
  </si>
  <si>
    <t>Tribal fleet decarbonization</t>
  </si>
  <si>
    <t>Campus Energy (WWU)</t>
  </si>
  <si>
    <t>Campus Energy (Seattle)</t>
  </si>
  <si>
    <t>Vehicle to grid for resilience</t>
  </si>
  <si>
    <t>Mileage 1 vehicle @ $0.655/mile x 90 trips</t>
  </si>
  <si>
    <t>Per Diem 1 staff @ $69/day x 90 trips</t>
  </si>
  <si>
    <t>Hotel 1 staff @ $105/night x 90 trips</t>
  </si>
  <si>
    <t>General office supplies (Pen, paper, etc for facilitation and outreach materials)</t>
  </si>
  <si>
    <t>Other</t>
  </si>
  <si>
    <t xml:space="preserve">Contract to make changes to the transformer vault to get it ready for Seattle City Light's upgrades (moving/upsizing door, adding ventilation, adding CMU partitions for fuses) </t>
  </si>
  <si>
    <t>Contract for Measurement and Verification / Optimization</t>
  </si>
  <si>
    <t>Sales Tax (10.25%)</t>
  </si>
  <si>
    <t>Seattle City Light (charges related to upsizing the electrical service capacity to the building) Preliminary estimate provided by SCL.</t>
  </si>
  <si>
    <t>BUDGET BY YEAR - Exhaust Heat Recovery</t>
  </si>
  <si>
    <t>* 6% annual cost of living increases</t>
  </si>
  <si>
    <t>Full-Time Employees at 32.5%</t>
  </si>
  <si>
    <t>Design and Engineering</t>
  </si>
  <si>
    <t>Heat Recovery Coils</t>
  </si>
  <si>
    <t>Pumps, Piping, Electrical</t>
  </si>
  <si>
    <t>Building Controls</t>
  </si>
  <si>
    <t>Installation Labor</t>
  </si>
  <si>
    <t>Prime Contractor Management</t>
  </si>
  <si>
    <t>Taxes at 9.0%</t>
  </si>
  <si>
    <t>University Overhead &amp; Accounting Fees  *4% of Contracted</t>
  </si>
  <si>
    <t>Anaerobic digesters</t>
  </si>
  <si>
    <t>Project Manager @ $90,000/yr, .5 FTE, with salary increases</t>
  </si>
  <si>
    <t>Project Staff @ $70,000/yr, .5 FTE, with salary increases</t>
  </si>
  <si>
    <t>Full-time Employees @ 18% of salary</t>
  </si>
  <si>
    <t>New Electric Vehicles (10 a Year Avg. 1-Transit Van, 2-Trucks, 3-Mid Size, 4-Sedan)</t>
  </si>
  <si>
    <t>Administration Building Solar Array System (Solar, Batteries, Storage Building, Ballast, Inverters, Permitting, Design, Labor)</t>
  </si>
  <si>
    <t>900 Building Solar Array System (Solar, Batteries, Storage Building, Ballast, Inverters, Permitting, Design, Labor)</t>
  </si>
  <si>
    <t>OpEx/year</t>
  </si>
  <si>
    <t xml:space="preserve">Freight </t>
  </si>
  <si>
    <t>Installation</t>
  </si>
  <si>
    <t>Permitting</t>
  </si>
  <si>
    <t>20% Contingency</t>
  </si>
  <si>
    <t>Direct FTE Costs*</t>
  </si>
  <si>
    <t>Contract for Thermal Storage (will not be funded by CPRG)</t>
  </si>
  <si>
    <t>Contract to expand the electrified district heating system to serve 2 additional buildings at Seattle Central College. (Components that won't be funded by CPRG or CPRG Match)</t>
  </si>
  <si>
    <t>Contract to expand the electrified district heating system to serve 2 additional buildings at Seattle Central College.  (Buy American Act Compliant Components)</t>
  </si>
  <si>
    <t>Contract for construction of an electrified district heating system serving 3 buildings at Seattle Central College.  (demo fossil gas produced steam components, install water-water heat pumps, thermal storage, piping, electrical capacity).  Based on a competitively selected guaranteed price proposal. (Components that won't be funded by CPRG or CPRG Match)</t>
  </si>
  <si>
    <t>Contract for construction of an electrified district heating system serving 3 buildings at Seattle Central College.  (demo fossil gas produced steam components, install water-water heat pumps, thermal storage, piping, electrical capacity).  Based on a competitively selected guaranteed price proposal. (Buy American Act Compliant Components)</t>
  </si>
  <si>
    <t>Construction Administrative Phase - Consultant Services</t>
  </si>
  <si>
    <r>
      <t xml:space="preserve">1 x the </t>
    </r>
    <r>
      <rPr>
        <i/>
        <sz val="11"/>
        <color theme="1"/>
        <rFont val="Calibri"/>
        <family val="2"/>
        <scheme val="minor"/>
      </rPr>
      <t>Construction Document Phase</t>
    </r>
    <r>
      <rPr>
        <sz val="11"/>
        <color theme="1"/>
        <rFont val="Calibri"/>
        <family val="2"/>
        <scheme val="minor"/>
      </rPr>
      <t xml:space="preserve"> @ $240,000. This service includes consultation on the overall design and construction of the new expansion as well as other legal fees for consultation, application review, and/or advice.</t>
    </r>
  </si>
  <si>
    <t>Construction Document Phase - Consultant Services</t>
  </si>
  <si>
    <r>
      <t xml:space="preserve">1 x the </t>
    </r>
    <r>
      <rPr>
        <i/>
        <sz val="11"/>
        <color theme="1"/>
        <rFont val="Calibri"/>
        <family val="2"/>
        <scheme val="minor"/>
      </rPr>
      <t>Design Phase</t>
    </r>
    <r>
      <rPr>
        <sz val="11"/>
        <color theme="1"/>
        <rFont val="Calibri"/>
        <family val="2"/>
        <scheme val="minor"/>
      </rPr>
      <t xml:space="preserve"> @ $50,000. This includes basic consultation services that includes the new building's architecture and interior design, structural, mechanical, and electrical engineering, telecom/AV consulting, as well as consultation on both hardware and furniture.</t>
    </r>
  </si>
  <si>
    <t>Design Phase - Consultant Services</t>
  </si>
  <si>
    <t xml:space="preserve">1 x pre-engineered 200x200 (40,000sq.ft.) building @ $7,000,000. This four-bay facility will be used to repair, maintain, and convert older &lt;T model locomotives to Tier 3/4. </t>
  </si>
  <si>
    <t>1 x site prep @ $656,000. $300,000 for power, water, and sewer hookups, $100,000 for rock and track installation, and $256,000 for excavation work including equipment and labor costs.</t>
  </si>
  <si>
    <t>Tenino AgPark AD500</t>
  </si>
  <si>
    <t>Pierce County Project</t>
  </si>
  <si>
    <t>The cranes are for the removal and installation of engines, engine skids, main and aux generators, locomotive carbodies, air compressors, and traction motors in locomotive truck assembly.</t>
  </si>
  <si>
    <t>Set of 50 Ton Loci Jacks @ $300,000 each</t>
  </si>
  <si>
    <t>The metal brake is used to bend and cut steel to build specialty locomotive parts.</t>
  </si>
  <si>
    <t>Milling Machine @ $25,000 each</t>
  </si>
  <si>
    <t xml:space="preserve">The bandsaw is used to cut steel to build specialty locomotive parts. </t>
  </si>
  <si>
    <t xml:space="preserve">The air compressor is used to power shop air tools. </t>
  </si>
  <si>
    <t xml:space="preserve">The tame wrench is a high torque hydraulic torque wrench used for removing large locomotive fasteners. </t>
  </si>
  <si>
    <t>Fork Lift (Telehandler) @ $50,000 each</t>
  </si>
  <si>
    <t>2 Plasma Cutters @ $5,000 each</t>
  </si>
  <si>
    <t xml:space="preserve">The plasma table is used to cut complex portions out of steel for specialty locomotive parts. </t>
  </si>
  <si>
    <t xml:space="preserve">The side by side is a mobile toolbox for the staff to be able to work on locomotives that are either outside and/or in a different location from the repair and maintenance shop. </t>
  </si>
  <si>
    <t xml:space="preserve">5 x sets of rigging (chains, straps, spreader bar, etc.) equipment (1 for each bay = 4 total + 1 spare @ $10,000 each. </t>
  </si>
  <si>
    <t>Public Education/Information; contract with a consultant to execute a paid communications plan to introduce the benefits of the demonstrations to the targeted audiences and sustain awareness throughout years 2-5</t>
  </si>
  <si>
    <t>This system provides the EV with the ability to export power from the battery to a load center equipped with compatible connections and communications/controls.</t>
  </si>
  <si>
    <t>This technology coordinates and controls fleet charging at each location in aggregate and on an individual vehicle basis, communicating with the vehicles, optimized with grid constraints/conditions/rate schedules, and given required operational parameters as specified by the fleet operator</t>
  </si>
  <si>
    <t>Vehicle-to-grid integration - charging optimization (VG1) systems development (software, communications/controls, hardware)</t>
  </si>
  <si>
    <t>Tot Veh</t>
  </si>
  <si>
    <t>Sedan</t>
  </si>
  <si>
    <t>SUV 4x4</t>
  </si>
  <si>
    <t>SUV 2x4</t>
  </si>
  <si>
    <t>F150  4x4</t>
  </si>
  <si>
    <t>F150  2x4</t>
  </si>
  <si>
    <t>Subtotal</t>
  </si>
  <si>
    <t>Cost</t>
  </si>
  <si>
    <t>Count</t>
  </si>
  <si>
    <t>Type</t>
  </si>
  <si>
    <t>A total of 87 vehicles at an average cost of $58,851, plus 20% contingency for a total of $6.2M: (23) F150 2x4 @ $55k, (25) F150 4x4 @$65k, (4) SUV 2x4 @$58k, (26) SUV 4x4 @$63k, (9) Sedan @$40k. These costs include commissioning costs</t>
  </si>
  <si>
    <t>Utility infrastructure (line extension infrastructure and service transformers) @  average cost of $75 per kVA of transformers and $120 per kVA line extension; yielding avg of $5,845 per EV supported; infrastructure for 61 EVs installed in year 1, 26 in year 2</t>
  </si>
  <si>
    <t>EV Supply Equipment (EVSE) - dedicated supply panels, circuits, and chargers-- average cost of $5,046 per ACL2 port connection; 39 installed in yr1, 53 in yr2, 40 in yr 3</t>
  </si>
  <si>
    <t>Admin/PM @ $116,700 per year - Contracted labor for project management and administration</t>
  </si>
  <si>
    <t>Will hire a communications team that will implement the communication plan as directed by our Public Works Communication Manager.</t>
  </si>
  <si>
    <t xml:space="preserve">Cowlitz Indian Tribe Budget for Fleet Electrificiation </t>
  </si>
  <si>
    <t>City of Spokane and Avista Budget for Vehicle to Grid Integration Measure</t>
  </si>
  <si>
    <t>Port of Pend Oreille dba Pend Oreille Valley Railroad (POVA) Budget for Rail Infrastructure Measure</t>
  </si>
  <si>
    <t>Port of Port Angeles Budget for Water Transportation Measure</t>
  </si>
  <si>
    <t>Department of Commerce Budget for Tribal Clean Energy Grant Program Measure</t>
  </si>
  <si>
    <t>In state meetings with tribes to promote tribal program (annual trips with most tribes) - Costs assuming Olympia to Pasco</t>
  </si>
  <si>
    <t xml:space="preserve">TOTAL FUNDING REQUESTED FROM CPRG </t>
  </si>
  <si>
    <t>% by Sector</t>
  </si>
  <si>
    <t>Transportation</t>
  </si>
  <si>
    <t>Buildings</t>
  </si>
  <si>
    <t>Electric power</t>
  </si>
  <si>
    <t>Agriculture</t>
  </si>
  <si>
    <t>Tribal clean energy grant program</t>
  </si>
  <si>
    <t>Seattle Central College Budget for Energy District*</t>
  </si>
  <si>
    <t>$14 million request</t>
  </si>
  <si>
    <t>*This budget represents the total project budget for this measure (~$28 million). CPRG funds will be braided with forthcoming state funds to provide gap funding for the partially funded project. Currently unfunded items are highlighted in yellow below and equal $14 million. The rest of the funds (in italics and not included in totals) have been previously recevied through state and campus funds. 
Of the overall $14 millilon budget reflected in the total remaining budget, $10 million will come from CPRG and $4 million will be paid for using State of Washington appropriated funds.  State funds will mainly be used to acquire components, such as the piping and hot and chilled water distribution system and the thermal storage tank, which will be owned and maintained by the college. CPRG funds use are explain by line item.</t>
  </si>
  <si>
    <t>Grants to tribes- competitive awards with no minimum size and up to $2,750,000. To be awarded on a rolling bases in 2025.</t>
  </si>
  <si>
    <t>Indirect Federal costs @ 32.9% of Sal + Ben</t>
  </si>
  <si>
    <t>These figures reflect two recent COLA raises for all state employees (3% in July 2023  and 4% in July 2024). No further COLA is scheduled at this time and therfore is not reflected in salary and fringe.</t>
  </si>
  <si>
    <t>0.5 FTE Commerce Specialist 3 @ 37% of salary</t>
  </si>
  <si>
    <t>0.5 FTE Commerce Specialist 2 @ 37% of salary</t>
  </si>
  <si>
    <t>0.5 FTE Commerce Specialist 3 @ $82,056: program manager</t>
  </si>
  <si>
    <t>0.5 FTE Commerce Specialist 2 @ $70,799: support COM 3 on grant and contract management</t>
  </si>
  <si>
    <t>1.0 FTE COM3 @ 37% of salary</t>
  </si>
  <si>
    <t>1.0 COM 5 @ 37% of salary</t>
  </si>
  <si>
    <t xml:space="preserve">*Seat of Government real estate services fee since state facilities are exempt from paying local property taxes; Department of Personnel required charge; Repair and maintenance to office equipment; Space and Utilities to rent offices. Other direct cost for services from other agencies or services to provide communications, data processing for our outlook mailboxes, the state data center, software licenses and the personnel database. </t>
  </si>
  <si>
    <t>Commerce Program Administration Budget</t>
  </si>
  <si>
    <t>1.0 FTE COM3 @ $82,056: AD lead</t>
  </si>
  <si>
    <t>Anaerobic Digester Projects Budget</t>
  </si>
  <si>
    <t>Western Washington University Budget for Energy District</t>
  </si>
  <si>
    <t>1.0 FTE Washington Department of Enterprise Services Project Manager (Standard Interagency fee scale  based on project size)</t>
  </si>
  <si>
    <t>0.2 FTE Seattle Colleges Project Staff @ $80,000 (Internal project management and publishing a how-to manual for other state agencies and colleges wanting to implement an EcoDistrict)</t>
  </si>
  <si>
    <t>0.25 FTE Project Manager  @$105,000</t>
  </si>
  <si>
    <t>0.2 FTE Project Coordinator @$95,000</t>
  </si>
  <si>
    <t>TOTAL CPRG CONTRACTUAL</t>
  </si>
  <si>
    <t>TOTAL CPRG DIRECT</t>
  </si>
  <si>
    <t>3 Solar (DC) Carports Turn-Key System (includes Materials, Labor, Electrical Components)</t>
  </si>
  <si>
    <t>Pierce County AD185 (can process 185 tons of food per year)</t>
  </si>
  <si>
    <t>Tenino AgPark AD500 (can process 500 tons of food per year)</t>
  </si>
  <si>
    <t>VG1 operations and maintenance to City of Spokane</t>
  </si>
  <si>
    <t>V2L operations and maintenance to City of Spokane</t>
  </si>
  <si>
    <t xml:space="preserve">Indirect Federal costs @ 32.9% of Sal + Ben </t>
  </si>
  <si>
    <t>documentation of negotiated rate available upon request.</t>
  </si>
  <si>
    <t>1.0 COM 5 @ $95,185: Supervise COM 3 positions; oversee federal reporting and other state reporting</t>
  </si>
  <si>
    <t>0.5 MA4 @ 37% of salary</t>
  </si>
  <si>
    <t>1.0 FTE COM3 @ $82,056: contract and grant management; federal compliance with BABA/DBRA/etc.</t>
  </si>
  <si>
    <t>1.5 FTE COM2 @ $70,799: Support COM 3s across all measures for monitoring and verificaiton; contract management</t>
  </si>
  <si>
    <t xml:space="preserve"> 1.5 FTE COM2 @ 37% of salary</t>
  </si>
  <si>
    <t>0.5 MA4 @ $86,212: support environmental  justice assessment</t>
  </si>
  <si>
    <t>Standard work station* and mobile phone @ $4500 x 5 FTE
(*includes desk, chair, computer, monitor &amp; $800 for misc. equipment &amp; supplies)</t>
  </si>
  <si>
    <t>0.10 FTE Tribal Policy Specialist @ $122,841 -  tribal coordination and outreach</t>
  </si>
  <si>
    <t>0.1 FTE Tribal Policy Specialist @ 37% of salary</t>
  </si>
  <si>
    <t>% of budget</t>
  </si>
  <si>
    <t>Incentive Program for Shipping Custiomers and Barge Operators</t>
  </si>
  <si>
    <r>
      <t xml:space="preserve">cost estimates for utility line extension and transformers tailored to each of seven sites per detailed fleet electrification analysis spreadsheet;                                                                                                                                            </t>
    </r>
    <r>
      <rPr>
        <b/>
        <sz val="11"/>
        <rFont val="Calibri"/>
        <family val="2"/>
        <scheme val="minor"/>
      </rPr>
      <t xml:space="preserve">NOTE: approximately </t>
    </r>
    <r>
      <rPr>
        <sz val="11"/>
        <rFont val="Calibri"/>
        <family val="2"/>
        <scheme val="minor"/>
      </rPr>
      <t>50% of the costs in line 23 will be covered by Avista and not be reimbursed from the grant; approx  YR 1 $177,677 and YR 2  $76,565</t>
    </r>
  </si>
  <si>
    <r>
      <t xml:space="preserve">cost estimates for EVSE tailored to each of seven sites per detailed fleet electrification analysis spreadsheet;                               </t>
    </r>
    <r>
      <rPr>
        <b/>
        <sz val="11"/>
        <rFont val="Calibri"/>
        <family val="2"/>
        <scheme val="minor"/>
      </rPr>
      <t xml:space="preserve">NOTE: approximately </t>
    </r>
    <r>
      <rPr>
        <sz val="11"/>
        <rFont val="Calibri"/>
        <family val="2"/>
        <scheme val="minor"/>
      </rPr>
      <t>50% of these costs in line 24 will be covered by Avista and not be reimbursed from the grant; approx YR 1 $99,153; YR 2 $129,681 and YR 3 $96,630</t>
    </r>
  </si>
  <si>
    <t>TOTAL FUNDING REQUEST FROM CPRG                        (see notes in Column K)</t>
  </si>
  <si>
    <t>TOTAL REQUEST FROM CPRG (see column k)</t>
  </si>
  <si>
    <t xml:space="preserve">Contracted Morse &amp; Biology Building: </t>
  </si>
  <si>
    <t xml:space="preserve">HVAC Building Controls Upgrade: </t>
  </si>
  <si>
    <t>Bond</t>
  </si>
  <si>
    <t>Carver</t>
  </si>
  <si>
    <t>Owner Contingency at 5%</t>
  </si>
  <si>
    <t>Washington State Tier C Consolidated Budget Table</t>
  </si>
  <si>
    <t>2 40 Ton Cranes @ $150,000 each</t>
  </si>
  <si>
    <t>5 Welders (1 small for side-by-side) @ $5,000 each</t>
  </si>
  <si>
    <t xml:space="preserve">The welders are used for the fabrication of locomotive parts, rehab of locomotives, building of engine skid mounting blocks, fabrication of air compressor mounting blocks, and the building and rehab of locomotive carbodies. </t>
  </si>
  <si>
    <t>The loci jack is used to lift locomotives to remove trucks for the replacement of traction motors, wheel sets, and truck rebuilds, fuel tank removal, and draft gear replacement.</t>
  </si>
  <si>
    <t>Metal Brake @ $45,000 eac</t>
  </si>
  <si>
    <t xml:space="preserve">The milling machine is used to build specialty locomotive parts.  </t>
  </si>
  <si>
    <t>Bandsaw @ $10,000 each</t>
  </si>
  <si>
    <t>Air Compressor @ $35,000 each</t>
  </si>
  <si>
    <t>Tame Wench @ $16,000 each</t>
  </si>
  <si>
    <t>Bar Over Tool @ $16,000 each</t>
  </si>
  <si>
    <t xml:space="preserve">The bar over tool is used for the barring over of the EMD engines.  </t>
  </si>
  <si>
    <t xml:space="preserve">The forklift is used for moving parts and equipment around the locomotive shop and rail yard.  </t>
  </si>
  <si>
    <t xml:space="preserve">The plasma cutters are used to cut steel for the disassembly and fabrication of locomotive parts. </t>
  </si>
  <si>
    <t>Plasma Table @ $42,000 each</t>
  </si>
  <si>
    <t>Man Lift @ $45,000 each</t>
  </si>
  <si>
    <t xml:space="preserve">The man lift is used so that staff can safely work up high on locomotive carbodies and roofs as well as for general shop maintenance such as changing lights and/or getting parts off of high shelving units. </t>
  </si>
  <si>
    <t>Side-by-Side @ $15,000 each</t>
  </si>
  <si>
    <t>6 Sets of Hand Tools @ $10,000 each</t>
  </si>
  <si>
    <t>Each set of hand tools is for the general repair and maintenance of locomotives.</t>
  </si>
  <si>
    <t>The rigging equipment is used for the lifting and moving of locomotive parts including the removal and installation of engines, engine skids, main and aux generators, locomotive carbodies, air compressors, and traction motors in locomotive truck assembly.</t>
  </si>
  <si>
    <t xml:space="preserve">1 x dry blast booth @ $800,000 each. Dry blast booths provide a safe and efficient environment for abrasive blasting as an alternative to wet blasting or chemical stripping. </t>
  </si>
  <si>
    <t>1 x hydrogen fueling station @ $2,000,000 each. The Port will use the existing present-ready blue hydrogen refueling systems for their future hydro rails which are designed and constructed with the ability to integrate future on-site green hydrogen storage and generation.</t>
  </si>
  <si>
    <r>
      <t xml:space="preserve">1 x the </t>
    </r>
    <r>
      <rPr>
        <i/>
        <sz val="11"/>
        <color theme="1"/>
        <rFont val="Calibri"/>
        <family val="2"/>
        <scheme val="minor"/>
      </rPr>
      <t>Construction Administrative Phase</t>
    </r>
    <r>
      <rPr>
        <sz val="11"/>
        <color theme="1"/>
        <rFont val="Calibri"/>
        <family val="2"/>
        <scheme val="minor"/>
      </rPr>
      <t xml:space="preserve"> @ $100,000. This includes consultation and use of the land, structures, rights-of-way, appraisals, etc. It includes basic services such as civil engineering for grading and drainage, low voltage, data, security consulting, as well as VE and constructability participation.</t>
    </r>
  </si>
  <si>
    <r>
      <t xml:space="preserve">1 x the </t>
    </r>
    <r>
      <rPr>
        <i/>
        <sz val="11"/>
        <color theme="1"/>
        <rFont val="Calibri"/>
        <family val="2"/>
        <scheme val="minor"/>
      </rPr>
      <t>Other Consulting Services</t>
    </r>
    <r>
      <rPr>
        <sz val="11"/>
        <color theme="1"/>
        <rFont val="Calibri"/>
        <family val="2"/>
        <scheme val="minor"/>
      </rPr>
      <t xml:space="preserve"> @ $62,000. This includes landscape architecture, detailed cost estimates, an Energy Conservation Report (ELCCA), record and conformed drawings, out-of-basic-services with civil engineering, and reimbursable expenses for project consultants.</t>
    </r>
  </si>
  <si>
    <r>
      <t xml:space="preserve">1 x the </t>
    </r>
    <r>
      <rPr>
        <i/>
        <sz val="11"/>
        <color theme="1"/>
        <rFont val="Calibri"/>
        <family val="2"/>
        <scheme val="minor"/>
      </rPr>
      <t>Additional Consulting Services</t>
    </r>
    <r>
      <rPr>
        <sz val="11"/>
        <color theme="1"/>
        <rFont val="Calibri"/>
        <family val="2"/>
        <scheme val="minor"/>
      </rPr>
      <t xml:space="preserve"> @ $55,200. This includes the geotechnical surveying and the engineering of the construction site and building itself with consultant services for hazmat coordination and a building envelope.</t>
    </r>
  </si>
  <si>
    <t>TOTAL DIRECT FUNDING FROM CPRG</t>
  </si>
  <si>
    <t>Purchase of 87 light duty EV's @$$ each (see table for itemized list starting in M28. A 20% contingency was added as mitigation to address risk of purchasing and commissioning within the proposed scheduled timeframe.</t>
  </si>
  <si>
    <t>Public Works Estimated Costs of Vehicles (does not include commissioning or 20% contingency)</t>
  </si>
  <si>
    <t>Engineering Tech</t>
  </si>
  <si>
    <t>Communications</t>
  </si>
  <si>
    <t>Haggard</t>
  </si>
  <si>
    <t>SMATE</t>
  </si>
  <si>
    <t>Controls Programming Project Hire</t>
  </si>
  <si>
    <t>Tribal carveout</t>
  </si>
  <si>
    <t xml:space="preserve">Water Transportation </t>
  </si>
  <si>
    <t>Rail Infrastructure</t>
  </si>
  <si>
    <t>Veihcle-to-Grid Integration</t>
  </si>
  <si>
    <t>*the total budget for each of these is show in each tab and is not reflected in the total in this sheet. The total for OTHER here will match the SF 424A other category.</t>
  </si>
  <si>
    <t>Tribal Fleets</t>
  </si>
  <si>
    <t xml:space="preserve">SCC Energy District </t>
  </si>
  <si>
    <t>WWU Energy District</t>
  </si>
  <si>
    <t>TOTAL OTHER subawards</t>
  </si>
  <si>
    <t>AD program</t>
  </si>
  <si>
    <t>AD Program Third party implementer: Contracted by Commerce to support reporting and project implementation for both locations.</t>
  </si>
  <si>
    <t>Subawards to local and tribal governments*</t>
  </si>
  <si>
    <t>BUDGET BY YEAR FOR ALL SUBAWARDS, TRIBAL CE GRANT and COMMERCE MGMT</t>
  </si>
  <si>
    <r>
      <t xml:space="preserve">BUDGET BY YEAR FOR COMMERCE (LEAD) </t>
    </r>
    <r>
      <rPr>
        <b/>
        <i/>
        <sz val="14"/>
        <color theme="0"/>
        <rFont val="Calibri"/>
        <family val="2"/>
        <scheme val="minor"/>
      </rPr>
      <t>*these values will match the SF 424A</t>
    </r>
  </si>
  <si>
    <t>TOTAL OTHER SF 424A</t>
  </si>
  <si>
    <t>TOTAL SF 424A DIRECT</t>
  </si>
  <si>
    <t xml:space="preserve">For all measures being implemented by local govs, ports and tribes, Commerce will subaward funds indicated in yellow under "Other". The details for each measure are in the corresponding tabs. The staff  included here will support those subawards, contracts and reporting requirements for each measure. All staff required for the Commerce Tribal clean energy program is indicated in that tab. </t>
  </si>
  <si>
    <t>SF 424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</si>
</sst>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quot;$&quot;#,##0_);[Red]\(&quot;$&quot;#,##0\)"/>
    <numFmt numFmtId="8" formatCode="&quot;$&quot;#,##0.00_);[Red]\(&quot;$&quot;#,##0.00\)"/>
    <numFmt numFmtId="44" formatCode="_(&quot;$&quot;* #,##0.00_);_(&quot;$&quot;* \(#,##0.00\);_(&quot;$&quot;* &quot;-&quot;??_);_(@_)"/>
    <numFmt numFmtId="164" formatCode="_(&quot;$&quot;* #,##0_);_(&quot;$&quot;* \(#,##0\);_(&quot;$&quot;* &quot;-&quot;??_);_(@_)"/>
    <numFmt numFmtId="165" formatCode="&quot;$&quot;#,##0"/>
    <numFmt numFmtId="166" formatCode="&quot;$&quot;#,##0.0_);[Red]\(&quot;$&quot;#,##0.0\)"/>
    <numFmt numFmtId="167" formatCode="0.0%"/>
    <numFmt numFmtId="168" formatCode="&quot;$&quot;#,##0.00"/>
  </numFmts>
  <fonts count="24"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i/>
      <sz val="11"/>
      <name val="Calibri"/>
      <family val="2"/>
      <scheme val="minor"/>
    </font>
    <font>
      <sz val="11"/>
      <name val="Calibri"/>
      <family val="2"/>
      <scheme val="minor"/>
    </font>
    <font>
      <sz val="11"/>
      <name val="Calibri"/>
      <family val="2"/>
    </font>
    <font>
      <b/>
      <sz val="11"/>
      <name val="Calibri"/>
      <family val="2"/>
      <scheme val="minor"/>
    </font>
    <font>
      <b/>
      <i/>
      <sz val="11"/>
      <color theme="1"/>
      <name val="Calibri"/>
      <family val="2"/>
      <scheme val="minor"/>
    </font>
    <font>
      <b/>
      <sz val="18"/>
      <name val="Calibri"/>
      <family val="2"/>
      <scheme val="minor"/>
    </font>
    <font>
      <b/>
      <sz val="14"/>
      <name val="Calibri"/>
      <family val="2"/>
      <scheme val="minor"/>
    </font>
    <font>
      <i/>
      <strike/>
      <sz val="11"/>
      <name val="Calibri"/>
      <family val="2"/>
      <scheme val="minor"/>
    </font>
    <font>
      <i/>
      <sz val="14"/>
      <name val="Calibri"/>
      <family val="2"/>
      <scheme val="minor"/>
    </font>
    <font>
      <b/>
      <i/>
      <sz val="14"/>
      <color theme="0"/>
      <name val="Calibri"/>
      <family val="2"/>
      <scheme val="minor"/>
    </font>
  </fonts>
  <fills count="24">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rgb="FFBDBDFF"/>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theme="7"/>
        <bgColor rgb="FF000000"/>
      </patternFill>
    </fill>
    <fill>
      <patternFill patternType="solid">
        <fgColor theme="7"/>
        <bgColor indexed="64"/>
      </patternFill>
    </fill>
    <fill>
      <patternFill patternType="solid">
        <fgColor rgb="FFFFFF00"/>
        <bgColor indexed="64"/>
      </patternFill>
    </fill>
    <fill>
      <patternFill patternType="solid">
        <fgColor theme="5"/>
        <bgColor indexed="64"/>
      </patternFill>
    </fill>
    <fill>
      <patternFill patternType="solid">
        <fgColor theme="7" tint="0.79998168889431442"/>
        <bgColor rgb="FF000000"/>
      </patternFill>
    </fill>
    <fill>
      <patternFill patternType="solid">
        <fgColor rgb="FFFFFF00"/>
        <bgColor rgb="FF000000"/>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rgb="FF000000"/>
      </right>
      <top/>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277">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0" fontId="0" fillId="0" borderId="1" xfId="0" applyBorder="1"/>
    <xf numFmtId="0" fontId="10" fillId="0" borderId="11" xfId="0" applyFont="1" applyBorder="1" applyAlignment="1">
      <alignment wrapText="1"/>
    </xf>
    <xf numFmtId="0" fontId="11"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2" fillId="0" borderId="1" xfId="0" applyFont="1" applyBorder="1" applyAlignment="1">
      <alignment vertical="top"/>
    </xf>
    <xf numFmtId="0" fontId="13"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2"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0" fontId="12"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10" fillId="0" borderId="0" xfId="0" applyFont="1"/>
    <xf numFmtId="0" fontId="10" fillId="3" borderId="20" xfId="0" applyFont="1" applyFill="1" applyBorder="1" applyAlignment="1">
      <alignment wrapText="1"/>
    </xf>
    <xf numFmtId="6" fontId="7" fillId="4" borderId="1" xfId="0" applyNumberFormat="1" applyFont="1" applyFill="1" applyBorder="1" applyAlignment="1">
      <alignment wrapText="1"/>
    </xf>
    <xf numFmtId="6" fontId="9" fillId="0" borderId="0" xfId="0" applyNumberFormat="1" applyFont="1" applyAlignment="1">
      <alignment vertical="top" wrapText="1"/>
    </xf>
    <xf numFmtId="0" fontId="0" fillId="0" borderId="0" xfId="0" applyAlignment="1">
      <alignment wrapText="1"/>
    </xf>
    <xf numFmtId="0" fontId="10"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0" fontId="2" fillId="0" borderId="2" xfId="0" applyFont="1" applyBorder="1" applyAlignment="1">
      <alignment vertical="top" wrapText="1"/>
    </xf>
    <xf numFmtId="6" fontId="15" fillId="7" borderId="1" xfId="0" applyNumberFormat="1" applyFont="1" applyFill="1" applyBorder="1" applyAlignment="1">
      <alignment wrapText="1"/>
    </xf>
    <xf numFmtId="6" fontId="15" fillId="7" borderId="8" xfId="0" applyNumberFormat="1" applyFont="1" applyFill="1" applyBorder="1" applyAlignment="1">
      <alignment wrapText="1"/>
    </xf>
    <xf numFmtId="0" fontId="15" fillId="0" borderId="1" xfId="0" applyFont="1" applyFill="1" applyBorder="1" applyAlignment="1">
      <alignment vertical="center"/>
    </xf>
    <xf numFmtId="0" fontId="0" fillId="0" borderId="0" xfId="0" applyFill="1"/>
    <xf numFmtId="0" fontId="7" fillId="0" borderId="1" xfId="0" applyFont="1" applyFill="1" applyBorder="1" applyAlignment="1">
      <alignment wrapText="1"/>
    </xf>
    <xf numFmtId="6" fontId="15" fillId="0" borderId="1" xfId="0" applyNumberFormat="1" applyFont="1" applyFill="1" applyBorder="1" applyAlignment="1">
      <alignment wrapText="1"/>
    </xf>
    <xf numFmtId="0" fontId="15" fillId="0" borderId="1" xfId="0" applyFont="1" applyBorder="1" applyAlignment="1">
      <alignment vertical="center"/>
    </xf>
    <xf numFmtId="6" fontId="15" fillId="0" borderId="8" xfId="0" applyNumberFormat="1" applyFont="1" applyFill="1" applyBorder="1" applyAlignment="1">
      <alignment wrapText="1"/>
    </xf>
    <xf numFmtId="0" fontId="0" fillId="0" borderId="0" xfId="0" applyFont="1" applyAlignment="1">
      <alignment vertical="top"/>
    </xf>
    <xf numFmtId="0" fontId="7" fillId="0" borderId="1" xfId="0" applyFont="1" applyFill="1" applyBorder="1" applyAlignment="1">
      <alignment horizontal="right" wrapText="1"/>
    </xf>
    <xf numFmtId="0" fontId="15" fillId="0" borderId="1" xfId="0" applyFont="1" applyFill="1" applyBorder="1" applyAlignment="1">
      <alignment horizontal="left" wrapText="1" indent="4"/>
    </xf>
    <xf numFmtId="44" fontId="15" fillId="0" borderId="1" xfId="1" applyFont="1" applyFill="1" applyBorder="1" applyAlignment="1">
      <alignment wrapText="1"/>
    </xf>
    <xf numFmtId="0" fontId="15" fillId="0" borderId="0" xfId="0" applyFont="1" applyFill="1" applyBorder="1" applyAlignment="1"/>
    <xf numFmtId="0" fontId="15" fillId="0" borderId="1" xfId="0" applyFont="1" applyFill="1" applyBorder="1" applyAlignment="1">
      <alignment wrapText="1"/>
    </xf>
    <xf numFmtId="44" fontId="15" fillId="0" borderId="1" xfId="0" applyNumberFormat="1" applyFont="1" applyFill="1" applyBorder="1" applyAlignment="1">
      <alignment wrapText="1"/>
    </xf>
    <xf numFmtId="0" fontId="15" fillId="0" borderId="1" xfId="0" applyFont="1" applyFill="1" applyBorder="1" applyAlignment="1">
      <alignment horizontal="left" wrapText="1" indent="2"/>
    </xf>
    <xf numFmtId="0" fontId="17" fillId="0" borderId="1" xfId="0" applyFont="1" applyBorder="1" applyAlignment="1">
      <alignment vertical="top"/>
    </xf>
    <xf numFmtId="0" fontId="15" fillId="0" borderId="1" xfId="0" applyFont="1" applyBorder="1" applyAlignment="1">
      <alignment wrapText="1"/>
    </xf>
    <xf numFmtId="0" fontId="15" fillId="0" borderId="0" xfId="0" applyFont="1"/>
    <xf numFmtId="0" fontId="15" fillId="0" borderId="1" xfId="0" applyFont="1" applyBorder="1"/>
    <xf numFmtId="0" fontId="14" fillId="0" borderId="1" xfId="0" applyFont="1" applyBorder="1" applyAlignment="1">
      <alignment horizontal="left" wrapText="1" indent="2"/>
    </xf>
    <xf numFmtId="6" fontId="14" fillId="0" borderId="1" xfId="0" applyNumberFormat="1" applyFont="1" applyBorder="1" applyAlignment="1">
      <alignment wrapText="1"/>
    </xf>
    <xf numFmtId="6" fontId="15" fillId="0" borderId="0" xfId="0" applyNumberFormat="1" applyFont="1"/>
    <xf numFmtId="0" fontId="15" fillId="0" borderId="1" xfId="0" applyFont="1" applyBorder="1" applyAlignment="1">
      <alignment horizontal="left" wrapText="1" indent="2"/>
    </xf>
    <xf numFmtId="6" fontId="15" fillId="0" borderId="1" xfId="0" applyNumberFormat="1" applyFont="1" applyBorder="1" applyAlignment="1">
      <alignment wrapText="1"/>
    </xf>
    <xf numFmtId="0" fontId="15" fillId="4" borderId="1" xfId="0" applyFont="1" applyFill="1" applyBorder="1" applyAlignment="1">
      <alignment wrapText="1"/>
    </xf>
    <xf numFmtId="0" fontId="17" fillId="0" borderId="1" xfId="0" applyFont="1" applyBorder="1" applyAlignment="1">
      <alignment wrapText="1"/>
    </xf>
    <xf numFmtId="0" fontId="17" fillId="0" borderId="1" xfId="0" applyFont="1" applyBorder="1"/>
    <xf numFmtId="0" fontId="17" fillId="0" borderId="11" xfId="0" applyFont="1" applyBorder="1" applyAlignment="1">
      <alignment wrapText="1"/>
    </xf>
    <xf numFmtId="0" fontId="14" fillId="0" borderId="0" xfId="0" applyFont="1"/>
    <xf numFmtId="44" fontId="16" fillId="0" borderId="1" xfId="0" applyNumberFormat="1" applyFont="1" applyFill="1" applyBorder="1" applyAlignment="1">
      <alignment wrapText="1"/>
    </xf>
    <xf numFmtId="0" fontId="3" fillId="0" borderId="0" xfId="0" applyFont="1" applyAlignment="1">
      <alignment vertical="top"/>
    </xf>
    <xf numFmtId="164" fontId="3" fillId="0" borderId="0" xfId="1" applyNumberFormat="1" applyFont="1" applyBorder="1"/>
    <xf numFmtId="0" fontId="5" fillId="0" borderId="0" xfId="0" applyFont="1"/>
    <xf numFmtId="0" fontId="18" fillId="0" borderId="0" xfId="0" applyFont="1"/>
    <xf numFmtId="0" fontId="15" fillId="0" borderId="1" xfId="0" applyFont="1" applyFill="1" applyBorder="1" applyAlignment="1">
      <alignment vertical="top" wrapText="1"/>
    </xf>
    <xf numFmtId="0" fontId="15" fillId="0" borderId="0" xfId="0" applyFont="1" applyAlignment="1">
      <alignment vertical="top"/>
    </xf>
    <xf numFmtId="164" fontId="15" fillId="0" borderId="0" xfId="1" applyNumberFormat="1" applyFont="1" applyBorder="1"/>
    <xf numFmtId="0" fontId="19" fillId="0" borderId="0" xfId="0" applyFont="1"/>
    <xf numFmtId="0" fontId="20" fillId="5" borderId="8" xfId="0" applyFont="1" applyFill="1" applyBorder="1"/>
    <xf numFmtId="0" fontId="17" fillId="5" borderId="7" xfId="0" applyFont="1" applyFill="1" applyBorder="1" applyAlignment="1">
      <alignment wrapText="1"/>
    </xf>
    <xf numFmtId="0" fontId="17" fillId="5" borderId="6" xfId="0" applyFont="1" applyFill="1" applyBorder="1" applyAlignment="1">
      <alignment wrapText="1"/>
    </xf>
    <xf numFmtId="0" fontId="17" fillId="6" borderId="13" xfId="0" applyFont="1" applyFill="1" applyBorder="1" applyAlignment="1">
      <alignment wrapText="1"/>
    </xf>
    <xf numFmtId="0" fontId="17" fillId="6" borderId="14" xfId="0" applyFont="1" applyFill="1" applyBorder="1" applyAlignment="1">
      <alignment wrapText="1"/>
    </xf>
    <xf numFmtId="0" fontId="17" fillId="6" borderId="15" xfId="0" applyFont="1" applyFill="1" applyBorder="1" applyAlignment="1">
      <alignment wrapText="1"/>
    </xf>
    <xf numFmtId="0" fontId="17" fillId="6" borderId="7" xfId="0" applyFont="1" applyFill="1" applyBorder="1" applyAlignment="1">
      <alignment wrapText="1"/>
    </xf>
    <xf numFmtId="0" fontId="17" fillId="6" borderId="3" xfId="0" applyFont="1" applyFill="1" applyBorder="1"/>
    <xf numFmtId="0" fontId="17" fillId="0" borderId="2" xfId="0" applyFont="1" applyBorder="1" applyAlignment="1">
      <alignment vertical="top" wrapText="1"/>
    </xf>
    <xf numFmtId="0" fontId="15" fillId="0" borderId="5" xfId="0" applyFont="1" applyBorder="1" applyAlignment="1">
      <alignment vertical="top"/>
    </xf>
    <xf numFmtId="6" fontId="15" fillId="4" borderId="1" xfId="0" applyNumberFormat="1" applyFont="1" applyFill="1" applyBorder="1" applyAlignment="1">
      <alignment wrapText="1"/>
    </xf>
    <xf numFmtId="0" fontId="15" fillId="0" borderId="1" xfId="0" applyFont="1" applyBorder="1" applyAlignment="1">
      <alignment horizontal="left" wrapText="1" indent="4"/>
    </xf>
    <xf numFmtId="165" fontId="15" fillId="0" borderId="1" xfId="0" applyNumberFormat="1" applyFont="1" applyFill="1" applyBorder="1" applyAlignment="1">
      <alignment wrapText="1"/>
    </xf>
    <xf numFmtId="6" fontId="15" fillId="4" borderId="4" xfId="0" applyNumberFormat="1" applyFont="1" applyFill="1" applyBorder="1" applyAlignment="1">
      <alignment wrapText="1"/>
    </xf>
    <xf numFmtId="0" fontId="15" fillId="0" borderId="0" xfId="0" applyFont="1" applyFill="1"/>
    <xf numFmtId="0" fontId="15" fillId="0" borderId="3" xfId="0" applyFont="1" applyBorder="1" applyAlignment="1">
      <alignment vertical="top"/>
    </xf>
    <xf numFmtId="166" fontId="15" fillId="0" borderId="1" xfId="0" applyNumberFormat="1" applyFont="1" applyBorder="1" applyAlignment="1">
      <alignment wrapText="1"/>
    </xf>
    <xf numFmtId="0" fontId="17" fillId="0" borderId="0" xfId="0" applyFont="1"/>
    <xf numFmtId="6" fontId="17" fillId="0" borderId="12" xfId="0" applyNumberFormat="1" applyFont="1" applyBorder="1" applyAlignment="1">
      <alignment wrapText="1"/>
    </xf>
    <xf numFmtId="44" fontId="15" fillId="0" borderId="1" xfId="0" applyNumberFormat="1" applyFont="1" applyBorder="1" applyAlignment="1">
      <alignment wrapText="1"/>
    </xf>
    <xf numFmtId="44" fontId="15" fillId="4" borderId="1" xfId="0" applyNumberFormat="1" applyFont="1" applyFill="1" applyBorder="1" applyAlignment="1">
      <alignment wrapText="1"/>
    </xf>
    <xf numFmtId="10" fontId="0" fillId="0" borderId="0" xfId="0" applyNumberFormat="1"/>
    <xf numFmtId="10" fontId="2" fillId="0" borderId="0" xfId="0" applyNumberFormat="1" applyFont="1"/>
    <xf numFmtId="0" fontId="15" fillId="0" borderId="0" xfId="0" applyFont="1" applyAlignment="1">
      <alignment wrapText="1"/>
    </xf>
    <xf numFmtId="44" fontId="15" fillId="0" borderId="1" xfId="1" applyFont="1" applyBorder="1" applyAlignment="1">
      <alignment wrapText="1"/>
    </xf>
    <xf numFmtId="0" fontId="15" fillId="0" borderId="1" xfId="0" applyFont="1" applyBorder="1" applyAlignment="1">
      <alignment vertical="top" wrapText="1"/>
    </xf>
    <xf numFmtId="0" fontId="17" fillId="0" borderId="1" xfId="0" applyFont="1" applyBorder="1" applyAlignment="1">
      <alignment vertical="top" wrapText="1"/>
    </xf>
    <xf numFmtId="6" fontId="15" fillId="4" borderId="1" xfId="0" applyNumberFormat="1" applyFont="1" applyFill="1" applyBorder="1" applyAlignment="1">
      <alignment horizontal="right" wrapText="1"/>
    </xf>
    <xf numFmtId="0" fontId="15" fillId="0" borderId="0" xfId="0" applyFont="1" applyAlignment="1">
      <alignment horizontal="right"/>
    </xf>
    <xf numFmtId="0" fontId="15" fillId="0" borderId="1" xfId="0" applyFont="1" applyBorder="1" applyAlignment="1">
      <alignment horizontal="right" wrapText="1"/>
    </xf>
    <xf numFmtId="0" fontId="15" fillId="0" borderId="1" xfId="0" applyFont="1" applyBorder="1" applyAlignment="1">
      <alignment horizontal="right"/>
    </xf>
    <xf numFmtId="6" fontId="15" fillId="0" borderId="1" xfId="0" applyNumberFormat="1" applyFont="1" applyBorder="1" applyAlignment="1">
      <alignment horizontal="right" wrapText="1"/>
    </xf>
    <xf numFmtId="6" fontId="15" fillId="0" borderId="2" xfId="0" applyNumberFormat="1" applyFont="1" applyBorder="1" applyAlignment="1">
      <alignment horizontal="right" wrapText="1"/>
    </xf>
    <xf numFmtId="0" fontId="15" fillId="0" borderId="2" xfId="0" applyFont="1" applyBorder="1" applyAlignment="1">
      <alignment horizontal="right" wrapText="1"/>
    </xf>
    <xf numFmtId="165" fontId="15" fillId="0" borderId="1" xfId="0" applyNumberFormat="1" applyFont="1" applyBorder="1" applyAlignment="1">
      <alignment horizontal="right" wrapText="1"/>
    </xf>
    <xf numFmtId="6" fontId="15" fillId="4" borderId="4" xfId="0" applyNumberFormat="1" applyFont="1" applyFill="1" applyBorder="1" applyAlignment="1">
      <alignment horizontal="right" wrapText="1"/>
    </xf>
    <xf numFmtId="6" fontId="15" fillId="4" borderId="3" xfId="0" applyNumberFormat="1" applyFont="1" applyFill="1" applyBorder="1" applyAlignment="1">
      <alignment horizontal="right" wrapText="1"/>
    </xf>
    <xf numFmtId="0" fontId="17" fillId="0" borderId="1" xfId="0" applyFont="1" applyFill="1" applyBorder="1" applyAlignment="1">
      <alignment wrapText="1"/>
    </xf>
    <xf numFmtId="6" fontId="15" fillId="0" borderId="0" xfId="0" applyNumberFormat="1" applyFont="1" applyAlignment="1">
      <alignment horizontal="right"/>
    </xf>
    <xf numFmtId="6" fontId="15" fillId="8" borderId="1" xfId="0" applyNumberFormat="1" applyFont="1" applyFill="1" applyBorder="1" applyAlignment="1">
      <alignment horizontal="right" wrapText="1"/>
    </xf>
    <xf numFmtId="6" fontId="15" fillId="8" borderId="0" xfId="0" applyNumberFormat="1" applyFont="1" applyFill="1" applyAlignment="1">
      <alignment horizontal="right"/>
    </xf>
    <xf numFmtId="0" fontId="15" fillId="8" borderId="1" xfId="0" applyFont="1" applyFill="1" applyBorder="1" applyAlignment="1">
      <alignment vertical="top" wrapText="1"/>
    </xf>
    <xf numFmtId="6" fontId="17" fillId="0" borderId="12" xfId="0" applyNumberFormat="1" applyFont="1" applyBorder="1" applyAlignment="1">
      <alignment horizontal="right" wrapText="1"/>
    </xf>
    <xf numFmtId="0" fontId="0" fillId="0" borderId="0" xfId="0" applyAlignment="1">
      <alignment vertical="top" wrapText="1"/>
    </xf>
    <xf numFmtId="0" fontId="1" fillId="5" borderId="7" xfId="0" applyFont="1" applyFill="1" applyBorder="1" applyAlignment="1">
      <alignment vertical="top" wrapText="1"/>
    </xf>
    <xf numFmtId="0" fontId="10" fillId="6" borderId="13" xfId="0" applyFont="1" applyFill="1" applyBorder="1" applyAlignment="1">
      <alignment vertical="top" wrapText="1"/>
    </xf>
    <xf numFmtId="0" fontId="15" fillId="0" borderId="1" xfId="0" applyFont="1" applyBorder="1" applyAlignment="1">
      <alignment horizontal="left" vertical="top" wrapText="1"/>
    </xf>
    <xf numFmtId="0" fontId="15" fillId="4" borderId="1" xfId="0" applyFont="1" applyFill="1" applyBorder="1" applyAlignment="1">
      <alignment vertical="top" wrapText="1"/>
    </xf>
    <xf numFmtId="0" fontId="15" fillId="0" borderId="0" xfId="0" applyFont="1" applyAlignment="1">
      <alignment vertical="top" wrapText="1"/>
    </xf>
    <xf numFmtId="0" fontId="17" fillId="0" borderId="11" xfId="0" applyFont="1" applyBorder="1" applyAlignment="1">
      <alignment vertical="top" wrapText="1"/>
    </xf>
    <xf numFmtId="0" fontId="0" fillId="9" borderId="0" xfId="0" applyFill="1" applyAlignment="1">
      <alignment vertical="top" wrapText="1"/>
    </xf>
    <xf numFmtId="0" fontId="2" fillId="9" borderId="0" xfId="0" applyFont="1" applyFill="1" applyAlignment="1">
      <alignment vertical="top" wrapText="1"/>
    </xf>
    <xf numFmtId="165" fontId="15" fillId="0" borderId="1" xfId="0" applyNumberFormat="1" applyFont="1" applyBorder="1" applyAlignment="1">
      <alignment wrapText="1"/>
    </xf>
    <xf numFmtId="8" fontId="15" fillId="0" borderId="0" xfId="0" applyNumberFormat="1" applyFont="1"/>
    <xf numFmtId="165" fontId="15" fillId="0" borderId="1" xfId="0" applyNumberFormat="1" applyFont="1" applyBorder="1"/>
    <xf numFmtId="165" fontId="15" fillId="0" borderId="6" xfId="0" applyNumberFormat="1" applyFont="1" applyBorder="1"/>
    <xf numFmtId="0" fontId="0" fillId="0" borderId="1" xfId="0" applyBorder="1" applyAlignment="1">
      <alignment vertical="top" wrapText="1"/>
    </xf>
    <xf numFmtId="164" fontId="0" fillId="0" borderId="1" xfId="1" applyNumberFormat="1" applyFont="1" applyBorder="1"/>
    <xf numFmtId="0" fontId="15" fillId="11" borderId="1" xfId="0" applyFont="1" applyFill="1" applyBorder="1" applyAlignment="1">
      <alignment vertical="top" wrapText="1"/>
    </xf>
    <xf numFmtId="0" fontId="15" fillId="0" borderId="1" xfId="0" applyFont="1" applyBorder="1" applyAlignment="1">
      <alignment horizontal="center"/>
    </xf>
    <xf numFmtId="165" fontId="15" fillId="0" borderId="1" xfId="0" applyNumberFormat="1" applyFont="1" applyBorder="1" applyAlignment="1">
      <alignment horizontal="center"/>
    </xf>
    <xf numFmtId="0" fontId="15" fillId="13" borderId="1" xfId="0" applyFont="1" applyFill="1" applyBorder="1"/>
    <xf numFmtId="0" fontId="15" fillId="13" borderId="1" xfId="0" applyFont="1" applyFill="1" applyBorder="1" applyAlignment="1">
      <alignment horizontal="center"/>
    </xf>
    <xf numFmtId="0" fontId="15" fillId="9" borderId="0" xfId="0" applyFont="1" applyFill="1" applyAlignment="1">
      <alignment vertical="top" wrapText="1"/>
    </xf>
    <xf numFmtId="6" fontId="14" fillId="0" borderId="0" xfId="0" applyNumberFormat="1" applyFont="1"/>
    <xf numFmtId="0" fontId="17" fillId="0" borderId="2" xfId="0" applyFont="1" applyBorder="1" applyAlignment="1">
      <alignment vertical="top"/>
    </xf>
    <xf numFmtId="0" fontId="16" fillId="0" borderId="1" xfId="0" applyFont="1" applyFill="1" applyBorder="1" applyAlignment="1">
      <alignment wrapText="1"/>
    </xf>
    <xf numFmtId="164" fontId="0" fillId="0" borderId="0" xfId="1" applyNumberFormat="1" applyFont="1" applyBorder="1" applyAlignment="1">
      <alignment horizontal="left" vertical="center"/>
    </xf>
    <xf numFmtId="9" fontId="0" fillId="0" borderId="1" xfId="0" applyNumberFormat="1" applyBorder="1" applyAlignment="1">
      <alignment vertical="center"/>
    </xf>
    <xf numFmtId="9" fontId="7" fillId="0" borderId="1" xfId="0" applyNumberFormat="1" applyFont="1" applyBorder="1" applyAlignment="1">
      <alignment vertical="center"/>
    </xf>
    <xf numFmtId="9" fontId="0" fillId="0" borderId="1" xfId="0" applyNumberFormat="1" applyBorder="1"/>
    <xf numFmtId="0" fontId="3" fillId="0" borderId="0" xfId="0" applyFont="1" applyFill="1"/>
    <xf numFmtId="6" fontId="3" fillId="0" borderId="0" xfId="0" applyNumberFormat="1" applyFont="1" applyFill="1" applyAlignment="1">
      <alignment vertical="top"/>
    </xf>
    <xf numFmtId="9" fontId="7" fillId="0" borderId="0" xfId="0" applyNumberFormat="1" applyFont="1" applyBorder="1" applyAlignment="1">
      <alignment vertical="center"/>
    </xf>
    <xf numFmtId="0" fontId="10" fillId="0" borderId="23" xfId="0" applyFont="1" applyBorder="1" applyAlignment="1">
      <alignment wrapText="1"/>
    </xf>
    <xf numFmtId="0" fontId="17" fillId="0" borderId="23" xfId="0" applyFont="1" applyBorder="1" applyAlignment="1">
      <alignment wrapText="1"/>
    </xf>
    <xf numFmtId="6" fontId="17" fillId="0" borderId="24" xfId="0" applyNumberFormat="1" applyFont="1" applyBorder="1" applyAlignment="1">
      <alignment wrapText="1"/>
    </xf>
    <xf numFmtId="0" fontId="12" fillId="5" borderId="25" xfId="0" applyFont="1" applyFill="1" applyBorder="1"/>
    <xf numFmtId="0" fontId="15" fillId="9" borderId="1" xfId="0" applyFont="1" applyFill="1" applyBorder="1" applyAlignment="1">
      <alignment horizontal="left" wrapText="1" indent="2"/>
    </xf>
    <xf numFmtId="6" fontId="15" fillId="9" borderId="1" xfId="0" applyNumberFormat="1" applyFont="1" applyFill="1" applyBorder="1" applyAlignment="1">
      <alignment wrapText="1"/>
    </xf>
    <xf numFmtId="0" fontId="15" fillId="9" borderId="1" xfId="0" applyFont="1" applyFill="1" applyBorder="1" applyAlignment="1">
      <alignment horizontal="left" wrapText="1" indent="4"/>
    </xf>
    <xf numFmtId="6" fontId="15" fillId="0" borderId="0" xfId="0" applyNumberFormat="1" applyFont="1" applyFill="1"/>
    <xf numFmtId="0" fontId="15" fillId="9" borderId="1" xfId="0" applyFont="1" applyFill="1" applyBorder="1" applyAlignment="1">
      <alignment horizontal="left" vertical="top" wrapText="1" indent="2"/>
    </xf>
    <xf numFmtId="10" fontId="0" fillId="0" borderId="0" xfId="0" applyNumberFormat="1" applyFill="1"/>
    <xf numFmtId="0" fontId="0" fillId="9" borderId="1" xfId="0" applyFill="1" applyBorder="1"/>
    <xf numFmtId="0" fontId="14" fillId="0" borderId="1" xfId="0" applyFont="1" applyBorder="1" applyAlignment="1">
      <alignment horizontal="left" vertical="top" wrapText="1" indent="2"/>
    </xf>
    <xf numFmtId="6" fontId="21" fillId="0" borderId="1" xfId="0" applyNumberFormat="1" applyFont="1" applyBorder="1" applyAlignment="1">
      <alignment wrapText="1"/>
    </xf>
    <xf numFmtId="0" fontId="3" fillId="9" borderId="26" xfId="0" applyFont="1" applyFill="1" applyBorder="1"/>
    <xf numFmtId="0" fontId="15" fillId="0" borderId="1" xfId="0" applyFont="1" applyBorder="1" applyAlignment="1">
      <alignment horizontal="left" wrapText="1" indent="3"/>
    </xf>
    <xf numFmtId="0" fontId="16" fillId="0" borderId="1" xfId="0" applyFont="1" applyFill="1" applyBorder="1" applyAlignment="1">
      <alignment vertical="top" wrapText="1"/>
    </xf>
    <xf numFmtId="44" fontId="15" fillId="0" borderId="1" xfId="0" applyNumberFormat="1" applyFont="1" applyBorder="1"/>
    <xf numFmtId="44" fontId="16" fillId="0" borderId="1" xfId="1" applyFont="1" applyFill="1" applyBorder="1" applyAlignment="1">
      <alignment vertical="center"/>
    </xf>
    <xf numFmtId="0" fontId="15" fillId="0" borderId="0" xfId="0" applyFont="1" applyAlignment="1">
      <alignment vertical="center"/>
    </xf>
    <xf numFmtId="44" fontId="15" fillId="0" borderId="1" xfId="0" applyNumberFormat="1" applyFont="1" applyBorder="1" applyAlignment="1">
      <alignment vertical="center" wrapText="1"/>
    </xf>
    <xf numFmtId="44" fontId="15" fillId="0" borderId="22" xfId="1" applyFont="1" applyFill="1" applyBorder="1"/>
    <xf numFmtId="44" fontId="15" fillId="0" borderId="1" xfId="1" applyFont="1" applyFill="1" applyBorder="1"/>
    <xf numFmtId="0" fontId="0" fillId="0" borderId="5" xfId="0" applyBorder="1" applyAlignment="1">
      <alignment vertical="center"/>
    </xf>
    <xf numFmtId="44" fontId="15" fillId="0" borderId="1" xfId="1" applyFont="1" applyFill="1" applyBorder="1" applyAlignment="1">
      <alignment vertical="center"/>
    </xf>
    <xf numFmtId="6" fontId="15" fillId="0" borderId="0" xfId="0" applyNumberFormat="1" applyFont="1" applyAlignment="1">
      <alignment vertical="center"/>
    </xf>
    <xf numFmtId="0" fontId="0" fillId="3" borderId="1" xfId="0" applyFill="1" applyBorder="1" applyAlignment="1">
      <alignment horizontal="left" vertical="center"/>
    </xf>
    <xf numFmtId="0" fontId="0" fillId="15" borderId="1" xfId="0" applyFill="1" applyBorder="1" applyAlignment="1">
      <alignment horizontal="left" vertical="center"/>
    </xf>
    <xf numFmtId="0" fontId="0" fillId="16" borderId="1" xfId="0" applyFill="1" applyBorder="1" applyAlignment="1">
      <alignment horizontal="left" vertical="center"/>
    </xf>
    <xf numFmtId="0" fontId="0" fillId="6" borderId="1" xfId="0" applyFill="1" applyBorder="1"/>
    <xf numFmtId="0" fontId="15" fillId="0" borderId="1" xfId="0" applyFont="1" applyBorder="1" applyAlignment="1">
      <alignment horizontal="left" vertical="center" wrapText="1" indent="2"/>
    </xf>
    <xf numFmtId="6" fontId="15" fillId="0" borderId="1" xfId="0" applyNumberFormat="1" applyFont="1" applyBorder="1" applyAlignment="1">
      <alignment vertical="center" wrapText="1"/>
    </xf>
    <xf numFmtId="44" fontId="15" fillId="4" borderId="3" xfId="0" applyNumberFormat="1" applyFont="1" applyFill="1" applyBorder="1" applyAlignment="1">
      <alignment wrapText="1"/>
    </xf>
    <xf numFmtId="0" fontId="15" fillId="8" borderId="0" xfId="0" applyFont="1" applyFill="1"/>
    <xf numFmtId="6" fontId="0" fillId="0" borderId="0" xfId="0" applyNumberFormat="1" applyAlignment="1">
      <alignment vertical="top"/>
    </xf>
    <xf numFmtId="44" fontId="0" fillId="0" borderId="0" xfId="0" applyNumberFormat="1"/>
    <xf numFmtId="44" fontId="17" fillId="0" borderId="12" xfId="0" applyNumberFormat="1" applyFont="1" applyBorder="1" applyAlignment="1">
      <alignment wrapText="1"/>
    </xf>
    <xf numFmtId="0" fontId="15" fillId="4" borderId="2" xfId="0" applyFont="1" applyFill="1" applyBorder="1" applyAlignment="1">
      <alignment wrapText="1"/>
    </xf>
    <xf numFmtId="6" fontId="15" fillId="4" borderId="2" xfId="0" applyNumberFormat="1" applyFont="1" applyFill="1" applyBorder="1" applyAlignment="1">
      <alignment wrapText="1"/>
    </xf>
    <xf numFmtId="167" fontId="0" fillId="0" borderId="1" xfId="2" applyNumberFormat="1" applyFont="1" applyBorder="1"/>
    <xf numFmtId="0" fontId="15" fillId="0" borderId="1" xfId="0" applyFont="1" applyBorder="1" applyAlignment="1">
      <alignment horizontal="left" vertical="top" wrapText="1" indent="2"/>
    </xf>
    <xf numFmtId="165" fontId="15" fillId="0" borderId="0" xfId="0" applyNumberFormat="1" applyFont="1"/>
    <xf numFmtId="6" fontId="15" fillId="0" borderId="24" xfId="0" applyNumberFormat="1" applyFont="1" applyBorder="1" applyAlignment="1">
      <alignment wrapText="1"/>
    </xf>
    <xf numFmtId="164" fontId="17" fillId="17" borderId="12" xfId="1" applyNumberFormat="1" applyFont="1" applyFill="1" applyBorder="1"/>
    <xf numFmtId="0" fontId="17" fillId="17" borderId="12" xfId="0" applyFont="1" applyFill="1" applyBorder="1"/>
    <xf numFmtId="0" fontId="15" fillId="18" borderId="1" xfId="0" applyFont="1" applyFill="1" applyBorder="1" applyAlignment="1">
      <alignment wrapText="1"/>
    </xf>
    <xf numFmtId="6" fontId="15" fillId="18" borderId="1" xfId="0" applyNumberFormat="1" applyFont="1" applyFill="1" applyBorder="1" applyAlignment="1">
      <alignment wrapText="1"/>
    </xf>
    <xf numFmtId="6" fontId="15" fillId="4" borderId="33" xfId="0" applyNumberFormat="1" applyFont="1" applyFill="1" applyBorder="1" applyAlignment="1">
      <alignment wrapText="1"/>
    </xf>
    <xf numFmtId="164" fontId="17" fillId="17" borderId="32" xfId="0" applyNumberFormat="1" applyFont="1" applyFill="1" applyBorder="1"/>
    <xf numFmtId="0" fontId="15" fillId="0" borderId="0" xfId="0" applyFont="1" applyBorder="1" applyAlignment="1">
      <alignment vertical="top"/>
    </xf>
    <xf numFmtId="0" fontId="15" fillId="19" borderId="1" xfId="0" applyFont="1" applyFill="1" applyBorder="1"/>
    <xf numFmtId="0" fontId="14" fillId="0" borderId="1" xfId="0" applyFont="1" applyBorder="1" applyAlignment="1">
      <alignment horizontal="left" wrapText="1" indent="3"/>
    </xf>
    <xf numFmtId="0" fontId="10" fillId="3" borderId="1" xfId="0" applyFont="1" applyFill="1" applyBorder="1" applyAlignment="1">
      <alignment horizontal="left" wrapText="1"/>
    </xf>
    <xf numFmtId="0" fontId="15" fillId="0" borderId="3" xfId="0" applyFont="1" applyBorder="1" applyAlignment="1">
      <alignment vertical="top" wrapText="1"/>
    </xf>
    <xf numFmtId="0" fontId="0" fillId="0" borderId="0" xfId="0" applyNumberFormat="1"/>
    <xf numFmtId="0" fontId="15" fillId="19" borderId="0" xfId="0" applyFont="1" applyFill="1"/>
    <xf numFmtId="0" fontId="2" fillId="19" borderId="1" xfId="0" applyFont="1" applyFill="1" applyBorder="1" applyAlignment="1">
      <alignment vertical="top"/>
    </xf>
    <xf numFmtId="0" fontId="2" fillId="19" borderId="1" xfId="0" applyFont="1" applyFill="1" applyBorder="1"/>
    <xf numFmtId="6" fontId="0" fillId="19" borderId="1" xfId="0" applyNumberFormat="1" applyFill="1" applyBorder="1" applyAlignment="1">
      <alignment vertical="top"/>
    </xf>
    <xf numFmtId="0" fontId="7" fillId="19" borderId="0" xfId="0" applyFont="1" applyFill="1"/>
    <xf numFmtId="6" fontId="2" fillId="19" borderId="1" xfId="1" applyNumberFormat="1" applyFont="1" applyFill="1" applyBorder="1"/>
    <xf numFmtId="168" fontId="15" fillId="19" borderId="1" xfId="0" applyNumberFormat="1" applyFont="1" applyFill="1" applyBorder="1"/>
    <xf numFmtId="168" fontId="15" fillId="19" borderId="1" xfId="1" applyNumberFormat="1" applyFont="1" applyFill="1" applyBorder="1"/>
    <xf numFmtId="8" fontId="0" fillId="0" borderId="0" xfId="0" applyNumberFormat="1"/>
    <xf numFmtId="0" fontId="0" fillId="0" borderId="0" xfId="0" applyFill="1" applyAlignment="1">
      <alignment vertical="top"/>
    </xf>
    <xf numFmtId="8" fontId="15" fillId="7" borderId="1" xfId="0" applyNumberFormat="1" applyFont="1" applyFill="1" applyBorder="1" applyAlignment="1">
      <alignment wrapText="1"/>
    </xf>
    <xf numFmtId="8" fontId="15" fillId="4" borderId="1" xfId="0" applyNumberFormat="1" applyFont="1" applyFill="1" applyBorder="1" applyAlignment="1">
      <alignment wrapText="1"/>
    </xf>
    <xf numFmtId="8" fontId="7" fillId="4" borderId="1" xfId="0" applyNumberFormat="1" applyFont="1" applyFill="1" applyBorder="1" applyAlignment="1">
      <alignment wrapText="1"/>
    </xf>
    <xf numFmtId="8" fontId="10" fillId="0" borderId="1" xfId="0" applyNumberFormat="1" applyFont="1" applyBorder="1" applyAlignment="1">
      <alignment wrapText="1"/>
    </xf>
    <xf numFmtId="8" fontId="10" fillId="0" borderId="19" xfId="0" applyNumberFormat="1" applyFont="1" applyBorder="1" applyAlignment="1">
      <alignment wrapText="1"/>
    </xf>
    <xf numFmtId="0" fontId="0" fillId="0" borderId="0" xfId="0" applyFont="1" applyFill="1" applyBorder="1" applyAlignment="1">
      <alignment horizontal="left" vertical="top" wrapText="1"/>
    </xf>
    <xf numFmtId="0" fontId="0" fillId="12" borderId="8" xfId="0" applyFill="1" applyBorder="1" applyAlignment="1">
      <alignment horizontal="center"/>
    </xf>
    <xf numFmtId="0" fontId="0" fillId="12" borderId="6" xfId="0" applyFill="1" applyBorder="1" applyAlignment="1">
      <alignment horizontal="center"/>
    </xf>
    <xf numFmtId="0" fontId="3" fillId="0" borderId="0" xfId="0" applyFont="1" applyAlignment="1">
      <alignment horizontal="left" wrapText="1"/>
    </xf>
    <xf numFmtId="9" fontId="15"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xf numFmtId="0" fontId="15" fillId="10" borderId="8" xfId="0" applyFont="1" applyFill="1" applyBorder="1" applyAlignment="1">
      <alignment horizontal="center" wrapText="1"/>
    </xf>
    <xf numFmtId="0" fontId="15" fillId="10" borderId="7" xfId="0" applyFont="1" applyFill="1" applyBorder="1" applyAlignment="1">
      <alignment horizontal="center" wrapText="1"/>
    </xf>
    <xf numFmtId="0" fontId="15" fillId="10" borderId="6" xfId="0" applyFont="1" applyFill="1" applyBorder="1" applyAlignment="1">
      <alignment horizontal="center" wrapText="1"/>
    </xf>
    <xf numFmtId="0" fontId="17" fillId="17" borderId="27" xfId="0" applyFont="1" applyFill="1" applyBorder="1" applyAlignment="1">
      <alignment vertical="top" wrapText="1"/>
    </xf>
    <xf numFmtId="0" fontId="0" fillId="0" borderId="31" xfId="0" applyBorder="1" applyAlignment="1">
      <alignment vertical="top" wrapText="1"/>
    </xf>
    <xf numFmtId="0" fontId="22" fillId="14" borderId="27" xfId="0" applyFont="1" applyFill="1" applyBorder="1" applyAlignment="1">
      <alignment horizontal="left" vertical="top" wrapText="1"/>
    </xf>
    <xf numFmtId="0" fontId="22" fillId="14" borderId="28" xfId="0" applyFont="1" applyFill="1" applyBorder="1" applyAlignment="1">
      <alignment horizontal="left" vertical="top" wrapText="1"/>
    </xf>
    <xf numFmtId="0" fontId="22" fillId="14" borderId="29" xfId="0" applyFont="1" applyFill="1" applyBorder="1" applyAlignment="1">
      <alignment horizontal="left" vertical="top" wrapText="1"/>
    </xf>
    <xf numFmtId="0" fontId="0" fillId="0" borderId="30"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30" xfId="0" applyFont="1" applyFill="1" applyBorder="1" applyAlignment="1">
      <alignment horizontal="left" wrapText="1"/>
    </xf>
    <xf numFmtId="0" fontId="0" fillId="0" borderId="0" xfId="0" applyFont="1" applyFill="1" applyBorder="1" applyAlignment="1">
      <alignment horizontal="left" wrapText="1"/>
    </xf>
    <xf numFmtId="0" fontId="3" fillId="9" borderId="0" xfId="0" applyFont="1" applyFill="1" applyAlignment="1">
      <alignment horizontal="left" vertical="top" wrapText="1"/>
    </xf>
    <xf numFmtId="0" fontId="14" fillId="9" borderId="1" xfId="0" applyFont="1" applyFill="1" applyBorder="1" applyAlignment="1">
      <alignment horizontal="left" wrapText="1" indent="2"/>
    </xf>
    <xf numFmtId="0" fontId="15" fillId="9" borderId="0" xfId="0" applyFont="1" applyFill="1"/>
    <xf numFmtId="6" fontId="17" fillId="9" borderId="1" xfId="0" applyNumberFormat="1" applyFont="1" applyFill="1" applyBorder="1" applyAlignment="1">
      <alignment wrapText="1"/>
    </xf>
    <xf numFmtId="6" fontId="17" fillId="20" borderId="1" xfId="0" applyNumberFormat="1" applyFont="1" applyFill="1" applyBorder="1" applyAlignment="1">
      <alignment wrapText="1"/>
    </xf>
    <xf numFmtId="44" fontId="15" fillId="7" borderId="1" xfId="0" applyNumberFormat="1" applyFont="1" applyFill="1" applyBorder="1" applyAlignment="1">
      <alignment wrapText="1"/>
    </xf>
    <xf numFmtId="0" fontId="12" fillId="21" borderId="8" xfId="0" applyFont="1" applyFill="1" applyBorder="1"/>
    <xf numFmtId="0" fontId="1" fillId="21" borderId="7" xfId="0" applyFont="1" applyFill="1" applyBorder="1" applyAlignment="1">
      <alignment wrapText="1"/>
    </xf>
    <xf numFmtId="0" fontId="10" fillId="16" borderId="13" xfId="0" applyFont="1" applyFill="1" applyBorder="1" applyAlignment="1">
      <alignment wrapText="1"/>
    </xf>
    <xf numFmtId="0" fontId="10" fillId="16" borderId="14" xfId="0" applyFont="1" applyFill="1" applyBorder="1" applyAlignment="1">
      <alignment wrapText="1"/>
    </xf>
    <xf numFmtId="0" fontId="10" fillId="16" borderId="15" xfId="0" applyFont="1" applyFill="1" applyBorder="1" applyAlignment="1">
      <alignment wrapText="1"/>
    </xf>
    <xf numFmtId="0" fontId="1" fillId="21" borderId="1" xfId="0" applyFont="1" applyFill="1" applyBorder="1" applyAlignment="1">
      <alignment wrapText="1"/>
    </xf>
    <xf numFmtId="0" fontId="10" fillId="16" borderId="1" xfId="0" applyFont="1" applyFill="1" applyBorder="1"/>
    <xf numFmtId="0" fontId="10" fillId="16" borderId="1" xfId="0" applyFont="1" applyFill="1" applyBorder="1" applyAlignment="1">
      <alignment horizontal="left" wrapText="1"/>
    </xf>
    <xf numFmtId="0" fontId="17" fillId="9" borderId="1" xfId="0" applyFont="1" applyFill="1" applyBorder="1" applyAlignment="1">
      <alignment horizontal="left" wrapText="1" indent="2"/>
    </xf>
    <xf numFmtId="0" fontId="17" fillId="9" borderId="0" xfId="0" applyFont="1" applyFill="1"/>
    <xf numFmtId="0" fontId="0" fillId="0" borderId="0" xfId="0" applyBorder="1" applyAlignment="1">
      <alignment vertical="top"/>
    </xf>
    <xf numFmtId="0" fontId="15" fillId="22" borderId="1" xfId="0" applyFont="1" applyFill="1" applyBorder="1" applyAlignment="1">
      <alignment wrapText="1"/>
    </xf>
    <xf numFmtId="6" fontId="15" fillId="22" borderId="1" xfId="0" applyNumberFormat="1" applyFont="1" applyFill="1" applyBorder="1" applyAlignment="1">
      <alignment wrapText="1"/>
    </xf>
    <xf numFmtId="44" fontId="7" fillId="4" borderId="1" xfId="0" applyNumberFormat="1" applyFont="1" applyFill="1" applyBorder="1" applyAlignment="1">
      <alignment wrapText="1"/>
    </xf>
    <xf numFmtId="44" fontId="0" fillId="0" borderId="1" xfId="0" applyNumberFormat="1" applyBorder="1"/>
    <xf numFmtId="0" fontId="0" fillId="9" borderId="0" xfId="0" applyFont="1" applyFill="1" applyBorder="1" applyAlignment="1">
      <alignment horizontal="left" vertical="top" wrapText="1"/>
    </xf>
    <xf numFmtId="6" fontId="17" fillId="23" borderId="1" xfId="0" applyNumberFormat="1" applyFont="1" applyFill="1" applyBorder="1" applyAlignment="1">
      <alignment wrapText="1"/>
    </xf>
    <xf numFmtId="168" fontId="15" fillId="7" borderId="1" xfId="0" applyNumberFormat="1" applyFont="1" applyFill="1" applyBorder="1" applyAlignment="1">
      <alignment wrapText="1"/>
    </xf>
    <xf numFmtId="168" fontId="0" fillId="0" borderId="0" xfId="0" applyNumberFormat="1"/>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BDBDFF"/>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R28"/>
  <sheetViews>
    <sheetView showGridLines="0" zoomScale="90" zoomScaleNormal="90" workbookViewId="0">
      <selection activeCell="F58" sqref="F58"/>
    </sheetView>
  </sheetViews>
  <sheetFormatPr defaultRowHeight="15" x14ac:dyDescent="0.25"/>
  <cols>
    <col min="1" max="1" width="1.85546875" customWidth="1"/>
    <col min="5" max="5" width="13.42578125" bestFit="1" customWidth="1"/>
    <col min="6" max="6" width="14.42578125" bestFit="1" customWidth="1"/>
    <col min="7" max="9" width="14.42578125" customWidth="1"/>
    <col min="10" max="10" width="10.85546875" bestFit="1" customWidth="1"/>
    <col min="11" max="11" width="15.5703125" customWidth="1"/>
    <col min="18" max="18" width="37.5703125" customWidth="1"/>
  </cols>
  <sheetData>
    <row r="1" spans="4:11" ht="10.5" customHeight="1" x14ac:dyDescent="0.25"/>
    <row r="2" spans="4:11" x14ac:dyDescent="0.25">
      <c r="D2" s="3"/>
      <c r="E2" s="3"/>
      <c r="J2" s="23"/>
      <c r="K2" s="3"/>
    </row>
    <row r="3" spans="4:11" x14ac:dyDescent="0.25">
      <c r="D3" s="3"/>
      <c r="E3" s="3"/>
      <c r="J3" s="21"/>
      <c r="K3" s="22"/>
    </row>
    <row r="4" spans="4:11" x14ac:dyDescent="0.25">
      <c r="D4" s="4"/>
      <c r="E4" s="3"/>
    </row>
    <row r="9" spans="4:11" x14ac:dyDescent="0.25">
      <c r="J9" s="15"/>
    </row>
    <row r="17" spans="5:18" x14ac:dyDescent="0.25">
      <c r="E17" s="24"/>
      <c r="F17" s="24"/>
      <c r="G17" s="24"/>
      <c r="H17" s="24"/>
      <c r="I17" s="24"/>
    </row>
    <row r="18" spans="5:18" x14ac:dyDescent="0.25">
      <c r="E18" s="24"/>
      <c r="F18" s="24"/>
      <c r="G18" s="24"/>
      <c r="H18" s="24"/>
      <c r="I18" s="24"/>
    </row>
    <row r="27" spans="5:18" ht="23.25" x14ac:dyDescent="0.35">
      <c r="Q27" s="20"/>
    </row>
    <row r="28" spans="5:18" x14ac:dyDescent="0.25">
      <c r="Q28" s="44"/>
      <c r="R28" s="45"/>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AM65"/>
  <sheetViews>
    <sheetView showGridLines="0" zoomScale="85" zoomScaleNormal="85" workbookViewId="0">
      <pane xSplit="3" ySplit="6" topLeftCell="D13" activePane="bottomRight" state="frozen"/>
      <selection activeCell="R20" sqref="R20:W20"/>
      <selection pane="topRight" activeCell="R20" sqref="R20:W20"/>
      <selection pane="bottomLeft" activeCell="R20" sqref="R20:W20"/>
      <selection pane="bottomRight" activeCell="R50" sqref="R50"/>
    </sheetView>
  </sheetViews>
  <sheetFormatPr defaultColWidth="9.140625" defaultRowHeight="15" x14ac:dyDescent="0.25"/>
  <cols>
    <col min="1" max="1" width="3.140625" customWidth="1"/>
    <col min="2" max="2" width="9.7109375" customWidth="1"/>
    <col min="3" max="3" width="47.5703125" customWidth="1"/>
    <col min="4" max="4" width="12.85546875" style="6" customWidth="1"/>
    <col min="5" max="5" width="12.42578125" style="2" customWidth="1"/>
    <col min="6" max="6" width="12.7109375" customWidth="1"/>
    <col min="7" max="7" width="12.85546875" customWidth="1"/>
    <col min="8" max="8" width="13.42578125" style="2" customWidth="1"/>
    <col min="9" max="9" width="0.85546875" style="7" customWidth="1"/>
    <col min="10" max="10" width="14.42578125" customWidth="1"/>
    <col min="11" max="11" width="62.5703125" customWidth="1"/>
  </cols>
  <sheetData>
    <row r="2" spans="2:39" ht="23.25" x14ac:dyDescent="0.35">
      <c r="B2" s="20" t="s">
        <v>150</v>
      </c>
    </row>
    <row r="3" spans="2:39" x14ac:dyDescent="0.25">
      <c r="B3" s="5"/>
    </row>
    <row r="4" spans="2:39" x14ac:dyDescent="0.25">
      <c r="B4" s="5"/>
    </row>
    <row r="5" spans="2:39" ht="18.75" x14ac:dyDescent="0.3">
      <c r="B5" s="26" t="s">
        <v>0</v>
      </c>
      <c r="C5" s="27"/>
      <c r="D5" s="27"/>
      <c r="E5" s="27"/>
      <c r="F5" s="27"/>
      <c r="G5" s="27"/>
      <c r="H5" s="27"/>
      <c r="I5" s="27"/>
      <c r="J5" s="28"/>
    </row>
    <row r="6" spans="2:39" ht="30" x14ac:dyDescent="0.25">
      <c r="B6" s="29" t="s">
        <v>1</v>
      </c>
      <c r="C6" s="29" t="s">
        <v>2</v>
      </c>
      <c r="D6" s="29" t="s">
        <v>3</v>
      </c>
      <c r="E6" s="30" t="s">
        <v>4</v>
      </c>
      <c r="F6" s="30" t="s">
        <v>5</v>
      </c>
      <c r="G6" s="30" t="s">
        <v>6</v>
      </c>
      <c r="H6" s="31" t="s">
        <v>7</v>
      </c>
      <c r="I6" s="32"/>
      <c r="J6" s="33" t="s">
        <v>8</v>
      </c>
    </row>
    <row r="7" spans="2:39" s="5" customFormat="1" x14ac:dyDescent="0.25">
      <c r="B7" s="155" t="s">
        <v>9</v>
      </c>
      <c r="C7" s="67" t="s">
        <v>27</v>
      </c>
      <c r="D7" s="68" t="s">
        <v>28</v>
      </c>
      <c r="E7" s="68" t="s">
        <v>28</v>
      </c>
      <c r="F7" s="68" t="s">
        <v>28</v>
      </c>
      <c r="G7" s="68"/>
      <c r="H7" s="68" t="s">
        <v>28</v>
      </c>
      <c r="I7" s="69"/>
      <c r="J7" s="70" t="s">
        <v>28</v>
      </c>
      <c r="K7"/>
      <c r="L7"/>
      <c r="M7"/>
      <c r="N7"/>
      <c r="O7"/>
      <c r="P7"/>
      <c r="Q7"/>
      <c r="R7"/>
      <c r="S7"/>
      <c r="T7"/>
      <c r="U7"/>
      <c r="V7"/>
      <c r="W7"/>
      <c r="X7"/>
      <c r="Y7"/>
      <c r="Z7"/>
      <c r="AA7"/>
      <c r="AB7"/>
      <c r="AC7"/>
      <c r="AD7"/>
      <c r="AE7"/>
      <c r="AF7"/>
      <c r="AG7"/>
      <c r="AH7"/>
      <c r="AI7"/>
      <c r="AJ7"/>
      <c r="AK7"/>
      <c r="AL7"/>
      <c r="AM7"/>
    </row>
    <row r="8" spans="2:39" ht="30" x14ac:dyDescent="0.25">
      <c r="B8" s="99"/>
      <c r="C8" s="179" t="s">
        <v>167</v>
      </c>
      <c r="D8" s="181">
        <v>42259</v>
      </c>
      <c r="E8" s="181">
        <v>41028</v>
      </c>
      <c r="F8" s="181">
        <v>41028</v>
      </c>
      <c r="G8" s="181">
        <v>41028</v>
      </c>
      <c r="H8" s="181">
        <v>41028</v>
      </c>
      <c r="I8" s="182"/>
      <c r="J8" s="183">
        <f t="shared" ref="J8:J10" si="0">SUM(D8:H8)</f>
        <v>206371</v>
      </c>
    </row>
    <row r="9" spans="2:39" ht="30" x14ac:dyDescent="0.25">
      <c r="B9" s="99"/>
      <c r="C9" s="179" t="s">
        <v>168</v>
      </c>
      <c r="D9" s="181">
        <v>36461</v>
      </c>
      <c r="E9" s="181">
        <v>36461</v>
      </c>
      <c r="F9" s="181">
        <v>36461</v>
      </c>
      <c r="G9" s="181">
        <v>36461</v>
      </c>
      <c r="H9" s="181">
        <v>36461</v>
      </c>
      <c r="I9" s="182"/>
      <c r="J9" s="183">
        <f t="shared" si="0"/>
        <v>182305</v>
      </c>
    </row>
    <row r="10" spans="2:39" ht="30" x14ac:dyDescent="0.25">
      <c r="B10" s="99"/>
      <c r="C10" s="179" t="s">
        <v>196</v>
      </c>
      <c r="D10" s="181">
        <f>122841*0.1</f>
        <v>12284.1</v>
      </c>
      <c r="E10" s="181">
        <f t="shared" ref="E10:H10" si="1">122841*0.1</f>
        <v>12284.1</v>
      </c>
      <c r="F10" s="181">
        <f t="shared" si="1"/>
        <v>12284.1</v>
      </c>
      <c r="G10" s="181">
        <f t="shared" si="1"/>
        <v>12284.1</v>
      </c>
      <c r="H10" s="181">
        <f t="shared" si="1"/>
        <v>12284.1</v>
      </c>
      <c r="I10" s="182"/>
      <c r="J10" s="183">
        <f t="shared" si="0"/>
        <v>61420.5</v>
      </c>
    </row>
    <row r="11" spans="2:39" x14ac:dyDescent="0.25">
      <c r="B11" s="99"/>
      <c r="C11" s="76" t="s">
        <v>10</v>
      </c>
      <c r="D11" s="110">
        <f>SUM(D8:D10)</f>
        <v>91004.1</v>
      </c>
      <c r="E11" s="110">
        <f t="shared" ref="E11:H11" si="2">SUM(E8:E10)</f>
        <v>89773.1</v>
      </c>
      <c r="F11" s="110">
        <f t="shared" si="2"/>
        <v>89773.1</v>
      </c>
      <c r="G11" s="110">
        <f t="shared" si="2"/>
        <v>89773.1</v>
      </c>
      <c r="H11" s="110">
        <f t="shared" si="2"/>
        <v>89773.1</v>
      </c>
      <c r="I11" s="69">
        <f t="shared" ref="I11" si="3">SUM(I8:I10)</f>
        <v>0</v>
      </c>
      <c r="J11" s="110">
        <f>SUM(D11:H11)</f>
        <v>450096.5</v>
      </c>
      <c r="K11" s="24"/>
    </row>
    <row r="12" spans="2:39" x14ac:dyDescent="0.25">
      <c r="B12" s="99"/>
      <c r="C12" s="77" t="s">
        <v>29</v>
      </c>
      <c r="D12" s="68" t="s">
        <v>28</v>
      </c>
      <c r="E12" s="68"/>
      <c r="F12" s="68"/>
      <c r="G12" s="68"/>
      <c r="H12" s="68"/>
      <c r="I12" s="69"/>
      <c r="J12" s="70" t="s">
        <v>28</v>
      </c>
    </row>
    <row r="13" spans="2:39" x14ac:dyDescent="0.25">
      <c r="B13" s="99"/>
      <c r="C13" s="156" t="s">
        <v>165</v>
      </c>
      <c r="D13" s="81">
        <f t="shared" ref="D13:H15" si="4">D8*0.37</f>
        <v>15635.83</v>
      </c>
      <c r="E13" s="81">
        <f t="shared" si="4"/>
        <v>15180.36</v>
      </c>
      <c r="F13" s="81">
        <f t="shared" si="4"/>
        <v>15180.36</v>
      </c>
      <c r="G13" s="81">
        <f t="shared" si="4"/>
        <v>15180.36</v>
      </c>
      <c r="H13" s="81">
        <f t="shared" si="4"/>
        <v>15180.36</v>
      </c>
      <c r="I13" s="69"/>
      <c r="J13" s="180">
        <f t="shared" ref="J13:J15" si="5">SUM(D13:H13)</f>
        <v>76357.27</v>
      </c>
    </row>
    <row r="14" spans="2:39" x14ac:dyDescent="0.25">
      <c r="B14" s="99"/>
      <c r="C14" s="156" t="s">
        <v>166</v>
      </c>
      <c r="D14" s="81">
        <f t="shared" si="4"/>
        <v>13490.57</v>
      </c>
      <c r="E14" s="81">
        <f t="shared" si="4"/>
        <v>13490.57</v>
      </c>
      <c r="F14" s="81">
        <f t="shared" si="4"/>
        <v>13490.57</v>
      </c>
      <c r="G14" s="81">
        <f t="shared" si="4"/>
        <v>13490.57</v>
      </c>
      <c r="H14" s="81">
        <f t="shared" si="4"/>
        <v>13490.57</v>
      </c>
      <c r="I14" s="69"/>
      <c r="J14" s="180">
        <f t="shared" si="5"/>
        <v>67452.850000000006</v>
      </c>
    </row>
    <row r="15" spans="2:39" x14ac:dyDescent="0.25">
      <c r="B15" s="99"/>
      <c r="C15" s="156" t="s">
        <v>197</v>
      </c>
      <c r="D15" s="81">
        <f t="shared" si="4"/>
        <v>4545.1170000000002</v>
      </c>
      <c r="E15" s="81">
        <f t="shared" si="4"/>
        <v>4545.1170000000002</v>
      </c>
      <c r="F15" s="81">
        <f t="shared" si="4"/>
        <v>4545.1170000000002</v>
      </c>
      <c r="G15" s="81">
        <f t="shared" si="4"/>
        <v>4545.1170000000002</v>
      </c>
      <c r="H15" s="81">
        <f t="shared" si="4"/>
        <v>4545.1170000000002</v>
      </c>
      <c r="I15" s="69"/>
      <c r="J15" s="180">
        <f t="shared" si="5"/>
        <v>22725.584999999999</v>
      </c>
    </row>
    <row r="16" spans="2:39" x14ac:dyDescent="0.25">
      <c r="B16" s="99"/>
      <c r="C16" s="76" t="s">
        <v>11</v>
      </c>
      <c r="D16" s="110">
        <f>SUM(D13:D15)</f>
        <v>33671.517</v>
      </c>
      <c r="E16" s="110">
        <f t="shared" ref="E16:H16" si="6">SUM(E13:E15)</f>
        <v>33216.046999999999</v>
      </c>
      <c r="F16" s="110">
        <f t="shared" si="6"/>
        <v>33216.046999999999</v>
      </c>
      <c r="G16" s="110">
        <f t="shared" si="6"/>
        <v>33216.046999999999</v>
      </c>
      <c r="H16" s="110">
        <f t="shared" si="6"/>
        <v>33216.046999999999</v>
      </c>
      <c r="I16" s="69" t="e">
        <f>SUM(#REF!)</f>
        <v>#REF!</v>
      </c>
      <c r="J16" s="110">
        <f>SUM(D16:H16)</f>
        <v>166535.70499999999</v>
      </c>
      <c r="K16" s="198"/>
    </row>
    <row r="17" spans="2:10" x14ac:dyDescent="0.25">
      <c r="B17" s="99"/>
      <c r="C17" s="127" t="s">
        <v>30</v>
      </c>
      <c r="D17" s="64" t="s">
        <v>28</v>
      </c>
      <c r="E17" s="64"/>
      <c r="F17" s="64"/>
      <c r="G17" s="64"/>
      <c r="H17" s="64"/>
      <c r="I17" s="69"/>
      <c r="J17" s="70" t="s">
        <v>28</v>
      </c>
    </row>
    <row r="18" spans="2:10" ht="45" x14ac:dyDescent="0.25">
      <c r="B18" s="99"/>
      <c r="C18" s="66" t="s">
        <v>151</v>
      </c>
      <c r="D18" s="64" t="s">
        <v>28</v>
      </c>
      <c r="E18" s="64"/>
      <c r="F18" s="64"/>
      <c r="G18" s="64"/>
      <c r="H18" s="64"/>
      <c r="I18" s="69"/>
      <c r="J18" s="75"/>
    </row>
    <row r="19" spans="2:10" x14ac:dyDescent="0.25">
      <c r="B19" s="99"/>
      <c r="C19" s="61" t="s">
        <v>68</v>
      </c>
      <c r="D19" s="62">
        <f>335.36*30</f>
        <v>10060.800000000001</v>
      </c>
      <c r="E19" s="62">
        <f>335.36*15</f>
        <v>5030.4000000000005</v>
      </c>
      <c r="F19" s="62">
        <f>335.36*15</f>
        <v>5030.4000000000005</v>
      </c>
      <c r="G19" s="62">
        <f>335.36*15</f>
        <v>5030.4000000000005</v>
      </c>
      <c r="H19" s="62">
        <f>335.36*15</f>
        <v>5030.4000000000005</v>
      </c>
      <c r="I19" s="69"/>
      <c r="J19" s="109">
        <f>SUM(D19:H19)</f>
        <v>30182.400000000005</v>
      </c>
    </row>
    <row r="20" spans="2:10" x14ac:dyDescent="0.25">
      <c r="B20" s="99"/>
      <c r="C20" s="61" t="s">
        <v>69</v>
      </c>
      <c r="D20" s="62">
        <f>69*30</f>
        <v>2070</v>
      </c>
      <c r="E20" s="62">
        <f>69*15</f>
        <v>1035</v>
      </c>
      <c r="F20" s="62">
        <f>69*15</f>
        <v>1035</v>
      </c>
      <c r="G20" s="62">
        <f>69*15</f>
        <v>1035</v>
      </c>
      <c r="H20" s="62">
        <f>69*15</f>
        <v>1035</v>
      </c>
      <c r="I20" s="73">
        <v>2000</v>
      </c>
      <c r="J20" s="75">
        <f>SUM(D20:H20)</f>
        <v>6210</v>
      </c>
    </row>
    <row r="21" spans="2:10" x14ac:dyDescent="0.25">
      <c r="B21" s="99"/>
      <c r="C21" s="61" t="s">
        <v>70</v>
      </c>
      <c r="D21" s="62">
        <f>105*30</f>
        <v>3150</v>
      </c>
      <c r="E21" s="62">
        <f>105*15</f>
        <v>1575</v>
      </c>
      <c r="F21" s="62">
        <f>105*15</f>
        <v>1575</v>
      </c>
      <c r="G21" s="62">
        <f>105*15</f>
        <v>1575</v>
      </c>
      <c r="H21" s="62">
        <f>105*15</f>
        <v>1575</v>
      </c>
      <c r="I21" s="73">
        <v>250</v>
      </c>
      <c r="J21" s="75">
        <f t="shared" ref="J21" si="7">SUM(D21:H21)</f>
        <v>9450</v>
      </c>
    </row>
    <row r="22" spans="2:10" x14ac:dyDescent="0.25">
      <c r="B22" s="99"/>
      <c r="C22" s="66"/>
      <c r="D22" s="56"/>
      <c r="E22" s="56"/>
      <c r="F22" s="56"/>
      <c r="G22" s="56"/>
      <c r="H22" s="56"/>
      <c r="I22" s="73"/>
      <c r="J22" s="75"/>
    </row>
    <row r="23" spans="2:10" x14ac:dyDescent="0.25">
      <c r="B23" s="99"/>
      <c r="C23" s="76" t="s">
        <v>12</v>
      </c>
      <c r="D23" s="110">
        <f>SUM(D19:D21)</f>
        <v>15280.800000000001</v>
      </c>
      <c r="E23" s="110">
        <f t="shared" ref="E23:H23" si="8">SUM(E19:E21)</f>
        <v>7640.4000000000005</v>
      </c>
      <c r="F23" s="110">
        <f>SUM(F19:F21)</f>
        <v>7640.4000000000005</v>
      </c>
      <c r="G23" s="110">
        <f t="shared" si="8"/>
        <v>7640.4000000000005</v>
      </c>
      <c r="H23" s="110">
        <f t="shared" si="8"/>
        <v>7640.4000000000005</v>
      </c>
      <c r="I23" s="69"/>
      <c r="J23" s="110">
        <f>SUM(D23:H23)</f>
        <v>45842.400000000001</v>
      </c>
    </row>
    <row r="24" spans="2:10" x14ac:dyDescent="0.25">
      <c r="B24" s="99"/>
      <c r="C24" s="77" t="s">
        <v>31</v>
      </c>
      <c r="D24" s="75"/>
      <c r="E24" s="68"/>
      <c r="F24" s="68"/>
      <c r="G24" s="68"/>
      <c r="H24" s="68"/>
      <c r="I24" s="69"/>
      <c r="J24" s="75" t="s">
        <v>18</v>
      </c>
    </row>
    <row r="25" spans="2:10" x14ac:dyDescent="0.25">
      <c r="B25" s="99"/>
      <c r="C25" s="74"/>
      <c r="D25" s="75"/>
      <c r="E25" s="68"/>
      <c r="F25" s="68"/>
      <c r="G25" s="68"/>
      <c r="H25" s="68"/>
      <c r="I25" s="69"/>
      <c r="J25" s="75"/>
    </row>
    <row r="26" spans="2:10" x14ac:dyDescent="0.25">
      <c r="B26" s="99" t="s">
        <v>32</v>
      </c>
      <c r="C26" s="68" t="s">
        <v>32</v>
      </c>
      <c r="D26" s="68" t="s">
        <v>28</v>
      </c>
      <c r="E26" s="68"/>
      <c r="F26" s="68"/>
      <c r="G26" s="68"/>
      <c r="H26" s="68"/>
      <c r="I26" s="69"/>
      <c r="J26" s="75"/>
    </row>
    <row r="27" spans="2:10" x14ac:dyDescent="0.25">
      <c r="B27" s="99"/>
      <c r="C27" s="76" t="s">
        <v>13</v>
      </c>
      <c r="D27" s="103">
        <f>SUM(D25:D26)</f>
        <v>0</v>
      </c>
      <c r="E27" s="103">
        <f t="shared" ref="E27:H27" si="9">SUM(E25:E26)</f>
        <v>0</v>
      </c>
      <c r="F27" s="103">
        <f t="shared" si="9"/>
        <v>0</v>
      </c>
      <c r="G27" s="103">
        <f t="shared" si="9"/>
        <v>0</v>
      </c>
      <c r="H27" s="103">
        <f t="shared" si="9"/>
        <v>0</v>
      </c>
      <c r="I27" s="69"/>
      <c r="J27" s="100">
        <f>SUM(J25:J26)</f>
        <v>0</v>
      </c>
    </row>
    <row r="28" spans="2:10" ht="30" x14ac:dyDescent="0.25">
      <c r="B28" s="99"/>
      <c r="C28" s="64" t="s">
        <v>71</v>
      </c>
      <c r="D28" s="62">
        <v>3000</v>
      </c>
      <c r="E28" s="62">
        <v>1500</v>
      </c>
      <c r="F28" s="62">
        <v>60</v>
      </c>
      <c r="G28" s="62">
        <v>60</v>
      </c>
      <c r="H28" s="62">
        <v>60</v>
      </c>
      <c r="I28" s="73">
        <v>5000</v>
      </c>
      <c r="J28" s="75">
        <f t="shared" ref="J28:J40" si="10">SUM(D28:H28)</f>
        <v>4680</v>
      </c>
    </row>
    <row r="29" spans="2:10" x14ac:dyDescent="0.25">
      <c r="B29" s="99"/>
      <c r="C29" s="64"/>
      <c r="D29" s="62"/>
      <c r="E29" s="62"/>
      <c r="F29" s="62"/>
      <c r="G29" s="62"/>
      <c r="H29" s="62"/>
      <c r="I29" s="69"/>
      <c r="J29" s="75"/>
    </row>
    <row r="30" spans="2:10" x14ac:dyDescent="0.25">
      <c r="B30" s="99"/>
      <c r="C30" s="76" t="s">
        <v>14</v>
      </c>
      <c r="D30" s="100">
        <f>SUM(D28:D29)</f>
        <v>3000</v>
      </c>
      <c r="E30" s="100">
        <f t="shared" ref="E30:H30" si="11">SUM(E28:E29)</f>
        <v>1500</v>
      </c>
      <c r="F30" s="100">
        <f t="shared" si="11"/>
        <v>60</v>
      </c>
      <c r="G30" s="100">
        <f t="shared" si="11"/>
        <v>60</v>
      </c>
      <c r="H30" s="100">
        <f t="shared" si="11"/>
        <v>60</v>
      </c>
      <c r="I30" s="69"/>
      <c r="J30" s="100">
        <f>SUM(D30:H30)</f>
        <v>4680</v>
      </c>
    </row>
    <row r="31" spans="2:10" x14ac:dyDescent="0.25">
      <c r="B31" s="99"/>
      <c r="C31" s="77" t="s">
        <v>34</v>
      </c>
      <c r="D31" s="68" t="s">
        <v>28</v>
      </c>
      <c r="E31" s="68"/>
      <c r="F31" s="68"/>
      <c r="G31" s="68"/>
      <c r="H31" s="68"/>
      <c r="I31" s="69"/>
      <c r="J31" s="75"/>
    </row>
    <row r="32" spans="2:10" x14ac:dyDescent="0.25">
      <c r="B32" s="99"/>
      <c r="C32" s="68"/>
      <c r="D32" s="75"/>
      <c r="E32" s="75"/>
      <c r="F32" s="75"/>
      <c r="G32" s="75"/>
      <c r="H32" s="75"/>
      <c r="I32" s="73"/>
      <c r="J32" s="75">
        <f t="shared" si="10"/>
        <v>0</v>
      </c>
    </row>
    <row r="33" spans="2:15" x14ac:dyDescent="0.25">
      <c r="B33" s="99"/>
      <c r="C33" s="68"/>
      <c r="D33" s="75"/>
      <c r="E33" s="75"/>
      <c r="F33" s="75"/>
      <c r="G33" s="75"/>
      <c r="H33" s="75"/>
      <c r="I33" s="73"/>
      <c r="J33" s="75">
        <f t="shared" si="10"/>
        <v>0</v>
      </c>
    </row>
    <row r="34" spans="2:15" x14ac:dyDescent="0.25">
      <c r="B34" s="99"/>
      <c r="C34" s="68"/>
      <c r="D34" s="75"/>
      <c r="E34" s="75"/>
      <c r="F34" s="75"/>
      <c r="G34" s="75"/>
      <c r="H34" s="75"/>
      <c r="I34" s="73"/>
      <c r="J34" s="75">
        <f t="shared" si="10"/>
        <v>0</v>
      </c>
    </row>
    <row r="35" spans="2:15" x14ac:dyDescent="0.25">
      <c r="B35" s="99"/>
      <c r="C35" s="113"/>
      <c r="D35" s="75"/>
      <c r="E35" s="75"/>
      <c r="F35" s="75"/>
      <c r="G35" s="75"/>
      <c r="H35" s="75"/>
      <c r="I35" s="73"/>
      <c r="J35" s="75">
        <f t="shared" si="10"/>
        <v>0</v>
      </c>
    </row>
    <row r="36" spans="2:15" x14ac:dyDescent="0.25">
      <c r="B36" s="99"/>
      <c r="C36" s="74"/>
      <c r="D36" s="75"/>
      <c r="E36" s="75"/>
      <c r="F36" s="75"/>
      <c r="G36" s="75"/>
      <c r="H36" s="75"/>
      <c r="I36" s="69"/>
      <c r="J36" s="75">
        <f t="shared" si="10"/>
        <v>0</v>
      </c>
    </row>
    <row r="37" spans="2:15" x14ac:dyDescent="0.25">
      <c r="B37" s="99"/>
      <c r="C37" s="76" t="s">
        <v>15</v>
      </c>
      <c r="D37" s="100">
        <f>SUM(D32:D36)</f>
        <v>0</v>
      </c>
      <c r="E37" s="100">
        <f t="shared" ref="E37:H37" si="12">SUM(E32:E36)</f>
        <v>0</v>
      </c>
      <c r="F37" s="100">
        <f t="shared" si="12"/>
        <v>0</v>
      </c>
      <c r="G37" s="100">
        <f t="shared" si="12"/>
        <v>0</v>
      </c>
      <c r="H37" s="100">
        <f t="shared" si="12"/>
        <v>0</v>
      </c>
      <c r="I37" s="69"/>
      <c r="J37" s="100">
        <f>SUM(J32:J36)</f>
        <v>0</v>
      </c>
    </row>
    <row r="38" spans="2:15" x14ac:dyDescent="0.25">
      <c r="B38" s="99"/>
      <c r="C38" s="77" t="s">
        <v>35</v>
      </c>
      <c r="D38" s="68" t="s">
        <v>28</v>
      </c>
      <c r="E38" s="68"/>
      <c r="F38" s="68"/>
      <c r="G38" s="68"/>
      <c r="H38" s="68"/>
      <c r="I38" s="69"/>
      <c r="J38" s="75"/>
    </row>
    <row r="39" spans="2:15" ht="45" x14ac:dyDescent="0.25">
      <c r="B39" s="99"/>
      <c r="C39" s="74" t="s">
        <v>162</v>
      </c>
      <c r="D39" s="75">
        <v>15000000</v>
      </c>
      <c r="E39" s="75"/>
      <c r="F39" s="75"/>
      <c r="G39" s="75"/>
      <c r="H39" s="75"/>
      <c r="I39" s="73">
        <v>375000</v>
      </c>
      <c r="J39" s="75">
        <f t="shared" si="10"/>
        <v>15000000</v>
      </c>
    </row>
    <row r="40" spans="2:15" x14ac:dyDescent="0.25">
      <c r="B40" s="99"/>
      <c r="C40" s="66" t="s">
        <v>100</v>
      </c>
      <c r="D40" s="62">
        <f>1.1*994.96*12</f>
        <v>13133.472000000002</v>
      </c>
      <c r="E40" s="62">
        <f t="shared" ref="E40:H40" si="13">1.1*994.96*12</f>
        <v>13133.472000000002</v>
      </c>
      <c r="F40" s="62">
        <f t="shared" si="13"/>
        <v>13133.472000000002</v>
      </c>
      <c r="G40" s="62">
        <f t="shared" si="13"/>
        <v>13133.472000000002</v>
      </c>
      <c r="H40" s="62">
        <f t="shared" si="13"/>
        <v>13133.472000000002</v>
      </c>
      <c r="I40" s="73">
        <v>781250</v>
      </c>
      <c r="J40" s="75">
        <f t="shared" si="10"/>
        <v>65667.360000000015</v>
      </c>
      <c r="K40" s="250" t="s">
        <v>171</v>
      </c>
      <c r="L40" s="251"/>
      <c r="M40" s="251"/>
      <c r="N40" s="251"/>
      <c r="O40" s="251"/>
    </row>
    <row r="41" spans="2:15" ht="15.75" customHeight="1" x14ac:dyDescent="0.25">
      <c r="B41" s="99"/>
      <c r="C41" s="74"/>
      <c r="D41" s="75"/>
      <c r="E41" s="75"/>
      <c r="F41" s="75"/>
      <c r="G41" s="75"/>
      <c r="H41" s="75"/>
      <c r="I41" s="73">
        <v>2083335</v>
      </c>
      <c r="J41" s="75"/>
      <c r="K41" s="250"/>
      <c r="L41" s="251"/>
      <c r="M41" s="251"/>
      <c r="N41" s="251"/>
      <c r="O41" s="251"/>
    </row>
    <row r="42" spans="2:15" x14ac:dyDescent="0.25">
      <c r="B42" s="105"/>
      <c r="C42" s="76" t="s">
        <v>16</v>
      </c>
      <c r="D42" s="100">
        <f>SUM(D39:D41)</f>
        <v>15013133.471999999</v>
      </c>
      <c r="E42" s="100">
        <f>SUM(E39:E41)</f>
        <v>13133.472000000002</v>
      </c>
      <c r="F42" s="100">
        <f>SUM(F39:F41)</f>
        <v>13133.472000000002</v>
      </c>
      <c r="G42" s="100">
        <f>SUM(G39:G41)</f>
        <v>13133.472000000002</v>
      </c>
      <c r="H42" s="100">
        <f>SUM(H39:H41)</f>
        <v>13133.472000000002</v>
      </c>
      <c r="I42" s="69"/>
      <c r="J42" s="100">
        <f>SUM(J39:J41)</f>
        <v>15065667.359999999</v>
      </c>
    </row>
    <row r="43" spans="2:15" x14ac:dyDescent="0.25">
      <c r="B43" s="105"/>
      <c r="C43" s="76" t="s">
        <v>17</v>
      </c>
      <c r="D43" s="100">
        <f>SUM(D42,D37,D30,D27,D23,D16,D11)</f>
        <v>15156089.889</v>
      </c>
      <c r="E43" s="100">
        <f t="shared" ref="E43:H43" si="14">SUM(E42,E37,E30,E27,E23,E16,E11)</f>
        <v>145263.019</v>
      </c>
      <c r="F43" s="100">
        <f t="shared" si="14"/>
        <v>143823.019</v>
      </c>
      <c r="G43" s="100">
        <f t="shared" si="14"/>
        <v>143823.019</v>
      </c>
      <c r="H43" s="100">
        <f t="shared" si="14"/>
        <v>143823.019</v>
      </c>
      <c r="I43" s="69"/>
      <c r="J43" s="100">
        <f>SUM(D43:H43)</f>
        <v>15732821.964999998</v>
      </c>
    </row>
    <row r="44" spans="2:15" x14ac:dyDescent="0.25">
      <c r="B44" s="87"/>
      <c r="C44" s="69"/>
      <c r="D44" s="69"/>
      <c r="E44" s="69"/>
      <c r="F44" s="69"/>
      <c r="G44" s="69"/>
      <c r="H44" s="69"/>
      <c r="I44" s="69"/>
      <c r="J44" s="69" t="s">
        <v>18</v>
      </c>
    </row>
    <row r="45" spans="2:15" x14ac:dyDescent="0.25">
      <c r="B45" s="155" t="s">
        <v>36</v>
      </c>
      <c r="C45" s="78" t="s">
        <v>36</v>
      </c>
      <c r="D45" s="70"/>
      <c r="E45" s="70"/>
      <c r="F45" s="70"/>
      <c r="G45" s="70"/>
      <c r="H45" s="70"/>
      <c r="I45" s="69"/>
      <c r="J45" s="70" t="s">
        <v>18</v>
      </c>
    </row>
    <row r="46" spans="2:15" x14ac:dyDescent="0.25">
      <c r="B46" s="99"/>
      <c r="C46" s="66" t="s">
        <v>163</v>
      </c>
      <c r="D46" s="65">
        <f>SUM(D11+D16)*0.329</f>
        <v>41018.277993000003</v>
      </c>
      <c r="E46" s="65">
        <f>SUM(E11+E16)*0.329</f>
        <v>40463.429363000003</v>
      </c>
      <c r="F46" s="65">
        <f>SUM(F11+F16)*0.329</f>
        <v>40463.429363000003</v>
      </c>
      <c r="G46" s="65">
        <f>SUM(G11+G16)*0.329</f>
        <v>40463.429363000003</v>
      </c>
      <c r="H46" s="65">
        <f>SUM(H11+H16)*0.329</f>
        <v>40463.429363000003</v>
      </c>
      <c r="I46" s="69"/>
      <c r="J46" s="75">
        <f>SUM(D46:H46)</f>
        <v>202871.99544500001</v>
      </c>
      <c r="K46" t="s">
        <v>188</v>
      </c>
    </row>
    <row r="47" spans="2:15" x14ac:dyDescent="0.25">
      <c r="B47" s="99"/>
      <c r="C47" s="74"/>
      <c r="D47" s="68"/>
      <c r="E47" s="68"/>
      <c r="F47" s="68"/>
      <c r="G47" s="68"/>
      <c r="H47" s="68"/>
      <c r="I47" s="69"/>
      <c r="J47" s="75"/>
    </row>
    <row r="48" spans="2:15" x14ac:dyDescent="0.25">
      <c r="B48" s="105"/>
      <c r="C48" s="76" t="s">
        <v>19</v>
      </c>
      <c r="D48" s="110">
        <f>SUM(D46:D47)</f>
        <v>41018.277993000003</v>
      </c>
      <c r="E48" s="110">
        <f>SUM(E46:E47)</f>
        <v>40463.429363000003</v>
      </c>
      <c r="F48" s="100">
        <f t="shared" ref="F48:H48" si="15">SUM(F46:F47)</f>
        <v>40463.429363000003</v>
      </c>
      <c r="G48" s="100">
        <f t="shared" si="15"/>
        <v>40463.429363000003</v>
      </c>
      <c r="H48" s="100">
        <f t="shared" si="15"/>
        <v>40463.429363000003</v>
      </c>
      <c r="I48" s="69"/>
      <c r="J48" s="110">
        <f>SUM(D48:H48)</f>
        <v>202871.99544500001</v>
      </c>
    </row>
    <row r="49" spans="2:10" ht="15.75" thickBot="1" x14ac:dyDescent="0.3">
      <c r="B49" s="87"/>
      <c r="C49" s="69"/>
      <c r="D49" s="69"/>
      <c r="E49" s="69"/>
      <c r="F49" s="69"/>
      <c r="G49" s="69"/>
      <c r="H49" s="69"/>
      <c r="I49" s="69"/>
      <c r="J49" s="69" t="s">
        <v>18</v>
      </c>
    </row>
    <row r="50" spans="2:10" s="1" customFormat="1" ht="30.75" thickBot="1" x14ac:dyDescent="0.3">
      <c r="B50" s="79" t="s">
        <v>20</v>
      </c>
      <c r="C50" s="79"/>
      <c r="D50" s="108">
        <f>SUM(D48,D43)</f>
        <v>15197108.166993</v>
      </c>
      <c r="E50" s="108">
        <f t="shared" ref="E50:H50" si="16">SUM(E48,E43)</f>
        <v>185726.448363</v>
      </c>
      <c r="F50" s="108">
        <f t="shared" si="16"/>
        <v>184286.448363</v>
      </c>
      <c r="G50" s="108">
        <f t="shared" si="16"/>
        <v>184286.448363</v>
      </c>
      <c r="H50" s="108">
        <f t="shared" si="16"/>
        <v>184286.448363</v>
      </c>
      <c r="I50" s="69">
        <f>SUM(I48,I43)</f>
        <v>0</v>
      </c>
      <c r="J50" s="108">
        <f>SUM(J48,J43)</f>
        <v>15935693.960444998</v>
      </c>
    </row>
    <row r="51" spans="2:10" x14ac:dyDescent="0.25">
      <c r="B51" s="6"/>
    </row>
    <row r="52" spans="2:10" x14ac:dyDescent="0.25">
      <c r="B52" s="6"/>
    </row>
    <row r="53" spans="2:10" x14ac:dyDescent="0.25">
      <c r="B53" s="6"/>
    </row>
    <row r="54" spans="2:10" x14ac:dyDescent="0.25">
      <c r="B54" s="6"/>
    </row>
    <row r="55" spans="2:10" x14ac:dyDescent="0.25">
      <c r="B55" s="6"/>
    </row>
    <row r="56" spans="2:10" x14ac:dyDescent="0.25">
      <c r="B56" s="6"/>
    </row>
    <row r="57" spans="2:10" x14ac:dyDescent="0.25">
      <c r="B57" s="6"/>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sheetData>
  <mergeCells count="1">
    <mergeCell ref="K40:O41"/>
  </mergeCells>
  <pageMargins left="0.7" right="0.7" top="0.75" bottom="0.75" header="0.3" footer="0.3"/>
  <pageSetup scale="89" fitToHeight="0" orientation="landscape" r:id="rId1"/>
  <ignoredErrors>
    <ignoredError sqref="J20:J21 J28 J39:J40"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AM75"/>
  <sheetViews>
    <sheetView topLeftCell="B19" zoomScale="75" zoomScaleNormal="75" workbookViewId="0">
      <selection activeCell="K46" sqref="K46"/>
    </sheetView>
  </sheetViews>
  <sheetFormatPr defaultColWidth="9.140625" defaultRowHeight="15" x14ac:dyDescent="0.25"/>
  <cols>
    <col min="1" max="1" width="3.140625" customWidth="1"/>
    <col min="2" max="2" width="17" customWidth="1"/>
    <col min="3" max="3" width="44.42578125" customWidth="1"/>
    <col min="4" max="4" width="15.85546875" style="6" customWidth="1"/>
    <col min="5" max="5" width="16.28515625" style="2" customWidth="1"/>
    <col min="6" max="6" width="15.5703125" customWidth="1"/>
    <col min="7" max="7" width="15" customWidth="1"/>
    <col min="8" max="8" width="13.42578125" style="2" customWidth="1"/>
    <col min="9" max="9" width="0.85546875" style="7" customWidth="1"/>
    <col min="10" max="10" width="18.85546875" customWidth="1"/>
    <col min="11" max="11" width="93" customWidth="1"/>
  </cols>
  <sheetData>
    <row r="2" spans="2:39" ht="23.25" x14ac:dyDescent="0.35">
      <c r="B2" s="20" t="s">
        <v>172</v>
      </c>
    </row>
    <row r="3" spans="2:39" ht="78.75" customHeight="1" x14ac:dyDescent="0.25">
      <c r="B3" s="252" t="s">
        <v>259</v>
      </c>
      <c r="C3" s="252"/>
      <c r="D3" s="252"/>
    </row>
    <row r="4" spans="2:39" x14ac:dyDescent="0.25">
      <c r="B4" s="5"/>
    </row>
    <row r="5" spans="2:39" ht="18.75" x14ac:dyDescent="0.3">
      <c r="B5" s="26" t="s">
        <v>0</v>
      </c>
      <c r="C5" s="27"/>
      <c r="D5" s="27"/>
      <c r="E5" s="27"/>
      <c r="F5" s="27"/>
      <c r="G5" s="27"/>
      <c r="H5" s="27"/>
      <c r="I5" s="27"/>
      <c r="J5" s="28"/>
    </row>
    <row r="6" spans="2:39" x14ac:dyDescent="0.25">
      <c r="B6" s="29" t="s">
        <v>1</v>
      </c>
      <c r="C6" s="29" t="s">
        <v>2</v>
      </c>
      <c r="D6" s="29" t="s">
        <v>3</v>
      </c>
      <c r="E6" s="30" t="s">
        <v>4</v>
      </c>
      <c r="F6" s="30" t="s">
        <v>5</v>
      </c>
      <c r="G6" s="30" t="s">
        <v>6</v>
      </c>
      <c r="H6" s="31" t="s">
        <v>7</v>
      </c>
      <c r="I6" s="32"/>
      <c r="J6" s="33" t="s">
        <v>8</v>
      </c>
    </row>
    <row r="7" spans="2:39" s="5" customFormat="1" x14ac:dyDescent="0.25">
      <c r="B7" s="16" t="s">
        <v>9</v>
      </c>
      <c r="C7" s="19" t="s">
        <v>27</v>
      </c>
      <c r="D7" s="10" t="s">
        <v>28</v>
      </c>
      <c r="E7" s="10" t="s">
        <v>28</v>
      </c>
      <c r="F7" s="10" t="s">
        <v>28</v>
      </c>
      <c r="G7" s="10"/>
      <c r="H7" s="10" t="s">
        <v>28</v>
      </c>
      <c r="I7" s="7"/>
      <c r="J7" s="8" t="s">
        <v>28</v>
      </c>
      <c r="K7"/>
      <c r="L7"/>
      <c r="M7"/>
      <c r="N7"/>
      <c r="O7"/>
      <c r="P7"/>
      <c r="Q7"/>
      <c r="R7"/>
      <c r="S7"/>
      <c r="T7"/>
      <c r="U7"/>
      <c r="V7"/>
      <c r="W7"/>
      <c r="X7"/>
      <c r="Y7"/>
      <c r="Z7"/>
      <c r="AA7"/>
      <c r="AB7"/>
      <c r="AC7"/>
      <c r="AD7"/>
      <c r="AE7"/>
      <c r="AF7"/>
      <c r="AG7"/>
      <c r="AH7"/>
      <c r="AI7"/>
      <c r="AJ7"/>
      <c r="AK7"/>
      <c r="AL7"/>
      <c r="AM7"/>
    </row>
    <row r="8" spans="2:39" ht="45" x14ac:dyDescent="0.25">
      <c r="B8" s="186"/>
      <c r="C8" s="193" t="s">
        <v>191</v>
      </c>
      <c r="D8" s="187">
        <v>82056</v>
      </c>
      <c r="E8" s="187">
        <v>82056</v>
      </c>
      <c r="F8" s="187">
        <v>82056</v>
      </c>
      <c r="G8" s="187">
        <v>82056</v>
      </c>
      <c r="H8" s="187">
        <v>82056</v>
      </c>
      <c r="I8" s="188">
        <v>450000</v>
      </c>
      <c r="J8" s="183">
        <f>SUM(D8:H8)</f>
        <v>410280</v>
      </c>
      <c r="K8" s="140" t="s">
        <v>164</v>
      </c>
    </row>
    <row r="9" spans="2:39" ht="45" x14ac:dyDescent="0.25">
      <c r="B9" s="17"/>
      <c r="C9" s="74" t="s">
        <v>191</v>
      </c>
      <c r="D9" s="185">
        <v>82056</v>
      </c>
      <c r="E9" s="185">
        <v>82056</v>
      </c>
      <c r="F9" s="185">
        <v>82056</v>
      </c>
      <c r="G9" s="185">
        <v>82056</v>
      </c>
      <c r="H9" s="185">
        <v>82056</v>
      </c>
      <c r="I9" s="69"/>
      <c r="J9" s="183">
        <f t="shared" ref="J9:J13" si="0">SUM(D9:H9)</f>
        <v>410280</v>
      </c>
    </row>
    <row r="10" spans="2:39" x14ac:dyDescent="0.25">
      <c r="B10" s="17"/>
      <c r="C10" s="74" t="s">
        <v>173</v>
      </c>
      <c r="D10" s="185">
        <v>82056</v>
      </c>
      <c r="E10" s="185">
        <v>82056</v>
      </c>
      <c r="F10" s="185">
        <v>82056</v>
      </c>
      <c r="G10" s="185">
        <v>82056</v>
      </c>
      <c r="H10" s="185">
        <v>82056</v>
      </c>
      <c r="I10" s="69"/>
      <c r="J10" s="183">
        <f t="shared" si="0"/>
        <v>410280</v>
      </c>
    </row>
    <row r="11" spans="2:39" ht="45" x14ac:dyDescent="0.25">
      <c r="B11" s="17"/>
      <c r="C11" s="74" t="s">
        <v>192</v>
      </c>
      <c r="D11" s="185">
        <f>70799*1.5</f>
        <v>106198.5</v>
      </c>
      <c r="E11" s="185">
        <f t="shared" ref="E11:H11" si="1">70799*1.5</f>
        <v>106198.5</v>
      </c>
      <c r="F11" s="185">
        <f t="shared" si="1"/>
        <v>106198.5</v>
      </c>
      <c r="G11" s="185">
        <f t="shared" si="1"/>
        <v>106198.5</v>
      </c>
      <c r="H11" s="185">
        <f t="shared" si="1"/>
        <v>106198.5</v>
      </c>
      <c r="I11" s="69"/>
      <c r="J11" s="183">
        <f t="shared" si="0"/>
        <v>530992.5</v>
      </c>
    </row>
    <row r="12" spans="2:39" ht="45" x14ac:dyDescent="0.25">
      <c r="B12" s="17"/>
      <c r="C12" s="74" t="s">
        <v>189</v>
      </c>
      <c r="D12" s="185">
        <v>95185</v>
      </c>
      <c r="E12" s="185">
        <v>95185</v>
      </c>
      <c r="F12" s="185">
        <v>95185</v>
      </c>
      <c r="G12" s="185">
        <v>95185</v>
      </c>
      <c r="H12" s="185">
        <v>95185</v>
      </c>
      <c r="I12" s="69">
        <f>SUM(I8:I9)</f>
        <v>450000</v>
      </c>
      <c r="J12" s="183">
        <f t="shared" si="0"/>
        <v>475925</v>
      </c>
    </row>
    <row r="13" spans="2:39" ht="30" x14ac:dyDescent="0.25">
      <c r="B13" s="17"/>
      <c r="C13" s="74" t="s">
        <v>194</v>
      </c>
      <c r="D13" s="185">
        <f>86212*0.5</f>
        <v>43106</v>
      </c>
      <c r="E13" s="185">
        <f t="shared" ref="E13:H13" si="2">86212*0.5</f>
        <v>43106</v>
      </c>
      <c r="F13" s="185">
        <f t="shared" si="2"/>
        <v>43106</v>
      </c>
      <c r="G13" s="185">
        <f t="shared" si="2"/>
        <v>43106</v>
      </c>
      <c r="H13" s="185">
        <f t="shared" si="2"/>
        <v>43106</v>
      </c>
      <c r="I13" s="69"/>
      <c r="J13" s="183">
        <f t="shared" si="0"/>
        <v>215530</v>
      </c>
    </row>
    <row r="14" spans="2:39" x14ac:dyDescent="0.25">
      <c r="B14" s="17"/>
      <c r="C14" s="76" t="s">
        <v>10</v>
      </c>
      <c r="D14" s="195">
        <f>SUM(D8:D13)</f>
        <v>490657.5</v>
      </c>
      <c r="E14" s="195">
        <f t="shared" ref="E14:H14" si="3">SUM(E8:E13)</f>
        <v>490657.5</v>
      </c>
      <c r="F14" s="195">
        <f>SUM(F8:F13)</f>
        <v>490657.5</v>
      </c>
      <c r="G14" s="195">
        <f t="shared" si="3"/>
        <v>490657.5</v>
      </c>
      <c r="H14" s="195">
        <f t="shared" si="3"/>
        <v>490657.5</v>
      </c>
      <c r="I14" s="69"/>
      <c r="J14" s="110">
        <f>SUM(D14:H14)</f>
        <v>2453287.5</v>
      </c>
      <c r="K14" s="198"/>
    </row>
    <row r="15" spans="2:39" x14ac:dyDescent="0.25">
      <c r="B15" s="17"/>
      <c r="C15" s="77" t="s">
        <v>29</v>
      </c>
      <c r="D15" s="68" t="s">
        <v>28</v>
      </c>
      <c r="E15" s="68"/>
      <c r="F15" s="68"/>
      <c r="G15" s="68"/>
      <c r="H15" s="68"/>
      <c r="I15" s="69"/>
      <c r="J15" s="70" t="s">
        <v>28</v>
      </c>
    </row>
    <row r="16" spans="2:39" x14ac:dyDescent="0.25">
      <c r="B16" s="17"/>
      <c r="C16" s="74" t="s">
        <v>169</v>
      </c>
      <c r="D16" s="109">
        <f t="shared" ref="D16:H17" si="4">D8*0.37</f>
        <v>30360.720000000001</v>
      </c>
      <c r="E16" s="109">
        <f t="shared" si="4"/>
        <v>30360.720000000001</v>
      </c>
      <c r="F16" s="109">
        <f t="shared" si="4"/>
        <v>30360.720000000001</v>
      </c>
      <c r="G16" s="109">
        <f t="shared" si="4"/>
        <v>30360.720000000001</v>
      </c>
      <c r="H16" s="109">
        <f t="shared" si="4"/>
        <v>30360.720000000001</v>
      </c>
      <c r="I16" s="69"/>
      <c r="J16" s="109">
        <f>SUM(D16:H16)</f>
        <v>151803.6</v>
      </c>
    </row>
    <row r="17" spans="2:11" x14ac:dyDescent="0.25">
      <c r="B17" s="17"/>
      <c r="C17" s="74" t="s">
        <v>169</v>
      </c>
      <c r="D17" s="109">
        <f t="shared" si="4"/>
        <v>30360.720000000001</v>
      </c>
      <c r="E17" s="109">
        <f t="shared" si="4"/>
        <v>30360.720000000001</v>
      </c>
      <c r="F17" s="109">
        <f t="shared" si="4"/>
        <v>30360.720000000001</v>
      </c>
      <c r="G17" s="109">
        <f t="shared" si="4"/>
        <v>30360.720000000001</v>
      </c>
      <c r="H17" s="109">
        <f t="shared" si="4"/>
        <v>30360.720000000001</v>
      </c>
      <c r="I17" s="69"/>
      <c r="J17" s="109">
        <f t="shared" ref="J17:J21" si="5">SUM(D17:H17)</f>
        <v>151803.6</v>
      </c>
    </row>
    <row r="18" spans="2:11" x14ac:dyDescent="0.25">
      <c r="B18" s="17"/>
      <c r="C18" s="74" t="s">
        <v>169</v>
      </c>
      <c r="D18" s="109">
        <f t="shared" ref="D18:D21" si="6">D10*0.37</f>
        <v>30360.720000000001</v>
      </c>
      <c r="E18" s="109">
        <f>E10*0.37</f>
        <v>30360.720000000001</v>
      </c>
      <c r="F18" s="109">
        <f>F10*0.37</f>
        <v>30360.720000000001</v>
      </c>
      <c r="G18" s="109">
        <f>G10*0.37</f>
        <v>30360.720000000001</v>
      </c>
      <c r="H18" s="109">
        <f>H10*0.37</f>
        <v>30360.720000000001</v>
      </c>
      <c r="I18" s="69"/>
      <c r="J18" s="109">
        <f t="shared" si="5"/>
        <v>151803.6</v>
      </c>
    </row>
    <row r="19" spans="2:11" x14ac:dyDescent="0.25">
      <c r="B19" s="17"/>
      <c r="C19" s="74" t="s">
        <v>193</v>
      </c>
      <c r="D19" s="109">
        <f t="shared" si="6"/>
        <v>39293.445</v>
      </c>
      <c r="E19" s="109">
        <f t="shared" ref="E19:H21" si="7">E11*0.37</f>
        <v>39293.445</v>
      </c>
      <c r="F19" s="109">
        <f t="shared" si="7"/>
        <v>39293.445</v>
      </c>
      <c r="G19" s="109">
        <f t="shared" si="7"/>
        <v>39293.445</v>
      </c>
      <c r="H19" s="109">
        <f t="shared" si="7"/>
        <v>39293.445</v>
      </c>
      <c r="I19" s="69"/>
      <c r="J19" s="109">
        <f t="shared" si="5"/>
        <v>196467.22500000001</v>
      </c>
    </row>
    <row r="20" spans="2:11" x14ac:dyDescent="0.25">
      <c r="B20" s="17"/>
      <c r="C20" s="74" t="s">
        <v>170</v>
      </c>
      <c r="D20" s="109">
        <f>D12*0.37</f>
        <v>35218.449999999997</v>
      </c>
      <c r="E20" s="109">
        <f t="shared" si="7"/>
        <v>35218.449999999997</v>
      </c>
      <c r="F20" s="109">
        <f t="shared" si="7"/>
        <v>35218.449999999997</v>
      </c>
      <c r="G20" s="109">
        <f t="shared" si="7"/>
        <v>35218.449999999997</v>
      </c>
      <c r="H20" s="109">
        <f t="shared" si="7"/>
        <v>35218.449999999997</v>
      </c>
      <c r="I20" s="69"/>
      <c r="J20" s="109">
        <f t="shared" si="5"/>
        <v>176092.25</v>
      </c>
    </row>
    <row r="21" spans="2:11" x14ac:dyDescent="0.25">
      <c r="B21" s="17"/>
      <c r="C21" s="74" t="s">
        <v>190</v>
      </c>
      <c r="D21" s="109">
        <f t="shared" si="6"/>
        <v>15949.22</v>
      </c>
      <c r="E21" s="109">
        <f t="shared" si="7"/>
        <v>15949.22</v>
      </c>
      <c r="F21" s="109">
        <f t="shared" si="7"/>
        <v>15949.22</v>
      </c>
      <c r="G21" s="109">
        <f t="shared" si="7"/>
        <v>15949.22</v>
      </c>
      <c r="H21" s="109">
        <f t="shared" si="7"/>
        <v>15949.22</v>
      </c>
      <c r="I21" s="69"/>
      <c r="J21" s="109">
        <f t="shared" si="5"/>
        <v>79746.099999999991</v>
      </c>
    </row>
    <row r="22" spans="2:11" x14ac:dyDescent="0.25">
      <c r="B22" s="17"/>
      <c r="C22" s="76" t="s">
        <v>11</v>
      </c>
      <c r="D22" s="110">
        <f>SUM(D16:D21)</f>
        <v>181543.27499999999</v>
      </c>
      <c r="E22" s="110">
        <f t="shared" ref="E22:H22" si="8">SUM(E16:E21)</f>
        <v>181543.27499999999</v>
      </c>
      <c r="F22" s="110">
        <f>SUM(F16:F21)</f>
        <v>181543.27499999999</v>
      </c>
      <c r="G22" s="110">
        <f t="shared" si="8"/>
        <v>181543.27499999999</v>
      </c>
      <c r="H22" s="110">
        <f t="shared" si="8"/>
        <v>181543.27499999999</v>
      </c>
      <c r="I22" s="69"/>
      <c r="J22" s="110">
        <f>SUM(D22:H22)</f>
        <v>907716.375</v>
      </c>
      <c r="K22" s="198"/>
    </row>
    <row r="23" spans="2:11" x14ac:dyDescent="0.25">
      <c r="B23" s="17"/>
      <c r="C23" s="12" t="s">
        <v>30</v>
      </c>
      <c r="D23" s="11" t="s">
        <v>28</v>
      </c>
      <c r="E23" s="10"/>
      <c r="F23" s="10"/>
      <c r="G23" s="10"/>
      <c r="H23" s="10"/>
      <c r="I23" s="25">
        <v>2000</v>
      </c>
      <c r="J23" s="8" t="s">
        <v>28</v>
      </c>
    </row>
    <row r="24" spans="2:11" x14ac:dyDescent="0.25">
      <c r="B24" s="17"/>
      <c r="C24" s="66"/>
      <c r="D24" s="56"/>
      <c r="E24" s="56"/>
      <c r="F24" s="56"/>
      <c r="G24" s="56"/>
      <c r="H24" s="56"/>
      <c r="I24" s="63"/>
      <c r="J24" s="56"/>
    </row>
    <row r="25" spans="2:11" x14ac:dyDescent="0.25">
      <c r="B25" s="17" t="s">
        <v>32</v>
      </c>
      <c r="C25" s="76" t="s">
        <v>12</v>
      </c>
      <c r="D25" s="100">
        <f>SUM(D24:D24)</f>
        <v>0</v>
      </c>
      <c r="E25" s="100">
        <f>SUM(E24:E24)</f>
        <v>0</v>
      </c>
      <c r="F25" s="100">
        <f>SUM(F24:F24)</f>
        <v>0</v>
      </c>
      <c r="G25" s="100">
        <f>SUM(G24:G24)</f>
        <v>0</v>
      </c>
      <c r="H25" s="100">
        <f>SUM(H24:H24)</f>
        <v>0</v>
      </c>
      <c r="I25" s="69"/>
      <c r="J25" s="100">
        <f>SUM(J24:J24)</f>
        <v>0</v>
      </c>
    </row>
    <row r="26" spans="2:11" x14ac:dyDescent="0.25">
      <c r="B26" s="17"/>
      <c r="C26" s="77" t="s">
        <v>31</v>
      </c>
      <c r="D26" s="75"/>
      <c r="E26" s="68"/>
      <c r="F26" s="68"/>
      <c r="G26" s="68"/>
      <c r="H26" s="68"/>
      <c r="I26" s="69"/>
      <c r="J26" s="75">
        <f>SUM(D26:H26)</f>
        <v>0</v>
      </c>
    </row>
    <row r="27" spans="2:11" x14ac:dyDescent="0.25">
      <c r="B27" s="17"/>
      <c r="C27" s="74"/>
      <c r="D27" s="75"/>
      <c r="E27" s="68"/>
      <c r="F27" s="68"/>
      <c r="G27" s="68"/>
      <c r="H27" s="68"/>
      <c r="I27" s="69"/>
      <c r="J27" s="75">
        <f>SUM(D27:H27)</f>
        <v>0</v>
      </c>
    </row>
    <row r="28" spans="2:11" x14ac:dyDescent="0.25">
      <c r="B28" s="17"/>
      <c r="C28" s="76" t="s">
        <v>13</v>
      </c>
      <c r="D28" s="103">
        <f>SUM(D27:D27)</f>
        <v>0</v>
      </c>
      <c r="E28" s="103">
        <f>SUM(E27:E27)</f>
        <v>0</v>
      </c>
      <c r="F28" s="103">
        <f>SUM(F27:F27)</f>
        <v>0</v>
      </c>
      <c r="G28" s="103">
        <f>SUM(G27:G27)</f>
        <v>0</v>
      </c>
      <c r="H28" s="103">
        <f>SUM(H27:H27)</f>
        <v>0</v>
      </c>
      <c r="I28" s="69"/>
      <c r="J28" s="100">
        <f>SUM(J26:J27)</f>
        <v>0</v>
      </c>
    </row>
    <row r="29" spans="2:11" x14ac:dyDescent="0.25">
      <c r="B29" s="17"/>
      <c r="C29" s="77" t="s">
        <v>33</v>
      </c>
      <c r="D29" s="68" t="s">
        <v>28</v>
      </c>
      <c r="E29" s="68"/>
      <c r="F29" s="68"/>
      <c r="G29" s="68"/>
      <c r="H29" s="68"/>
      <c r="I29" s="69"/>
      <c r="J29" s="75"/>
    </row>
    <row r="30" spans="2:11" ht="60" x14ac:dyDescent="0.25">
      <c r="B30" s="17"/>
      <c r="C30" s="64" t="s">
        <v>195</v>
      </c>
      <c r="D30" s="62">
        <f>4500*5</f>
        <v>22500</v>
      </c>
      <c r="E30" s="62">
        <v>0</v>
      </c>
      <c r="F30" s="62">
        <v>0</v>
      </c>
      <c r="G30" s="62">
        <v>0</v>
      </c>
      <c r="H30" s="62">
        <v>0</v>
      </c>
      <c r="I30" s="69"/>
      <c r="J30" s="109">
        <f>SUM(D30:H30)</f>
        <v>22500</v>
      </c>
    </row>
    <row r="31" spans="2:11" ht="30" x14ac:dyDescent="0.25">
      <c r="B31" s="17"/>
      <c r="C31" s="64" t="s">
        <v>71</v>
      </c>
      <c r="D31" s="62">
        <v>3000</v>
      </c>
      <c r="E31" s="62">
        <v>1500</v>
      </c>
      <c r="F31" s="62">
        <v>60</v>
      </c>
      <c r="G31" s="62">
        <v>60</v>
      </c>
      <c r="H31" s="62">
        <v>60</v>
      </c>
      <c r="I31" s="69"/>
      <c r="J31" s="109">
        <f>SUM(D31:H31)</f>
        <v>4680</v>
      </c>
    </row>
    <row r="32" spans="2:11" x14ac:dyDescent="0.25">
      <c r="B32" s="17"/>
      <c r="C32" s="76" t="s">
        <v>14</v>
      </c>
      <c r="D32" s="110">
        <f>SUM(D30:D31)</f>
        <v>25500</v>
      </c>
      <c r="E32" s="110">
        <f t="shared" ref="E32:H32" si="9">SUM(E30:E31)</f>
        <v>1500</v>
      </c>
      <c r="F32" s="110">
        <f t="shared" si="9"/>
        <v>60</v>
      </c>
      <c r="G32" s="110">
        <f t="shared" si="9"/>
        <v>60</v>
      </c>
      <c r="H32" s="110">
        <f t="shared" si="9"/>
        <v>60</v>
      </c>
      <c r="I32" s="73"/>
      <c r="J32" s="110">
        <f>SUM(D32:H32)</f>
        <v>27180</v>
      </c>
    </row>
    <row r="33" spans="2:15" x14ac:dyDescent="0.25">
      <c r="B33" s="17"/>
      <c r="C33" s="77" t="s">
        <v>34</v>
      </c>
      <c r="D33" s="68" t="s">
        <v>28</v>
      </c>
      <c r="E33" s="68"/>
      <c r="F33" s="68"/>
      <c r="G33" s="68"/>
      <c r="H33" s="68"/>
      <c r="I33" s="73"/>
      <c r="J33" s="75"/>
    </row>
    <row r="34" spans="2:15" x14ac:dyDescent="0.25">
      <c r="B34" s="17"/>
      <c r="C34" s="77" t="s">
        <v>34</v>
      </c>
      <c r="D34" s="68" t="s">
        <v>28</v>
      </c>
      <c r="E34" s="68"/>
      <c r="F34" s="68"/>
      <c r="G34" s="68"/>
      <c r="H34" s="68"/>
      <c r="I34" s="69"/>
      <c r="J34" s="75"/>
    </row>
    <row r="35" spans="2:15" ht="60" x14ac:dyDescent="0.25">
      <c r="B35" s="17"/>
      <c r="C35" s="74" t="s">
        <v>253</v>
      </c>
      <c r="D35" s="75">
        <v>100000</v>
      </c>
      <c r="E35" s="75">
        <v>100000</v>
      </c>
      <c r="F35" s="75">
        <v>100000</v>
      </c>
      <c r="G35" s="75">
        <v>100000</v>
      </c>
      <c r="H35" s="75">
        <v>100000</v>
      </c>
      <c r="I35" s="73">
        <v>5106000</v>
      </c>
      <c r="J35" s="75">
        <f>SUM(D35:H35)</f>
        <v>500000</v>
      </c>
    </row>
    <row r="36" spans="2:15" x14ac:dyDescent="0.25">
      <c r="B36" s="17"/>
      <c r="C36" s="74"/>
      <c r="D36" s="75"/>
      <c r="E36" s="75"/>
      <c r="F36" s="75"/>
      <c r="G36" s="75"/>
      <c r="H36" s="75"/>
      <c r="I36" s="73">
        <v>375000</v>
      </c>
      <c r="J36" s="75"/>
    </row>
    <row r="37" spans="2:15" x14ac:dyDescent="0.25">
      <c r="B37" s="17"/>
      <c r="C37" s="76" t="s">
        <v>15</v>
      </c>
      <c r="D37" s="100">
        <f>SUM(D34:D36)</f>
        <v>100000</v>
      </c>
      <c r="E37" s="100">
        <f>SUM(E34:E36)</f>
        <v>100000</v>
      </c>
      <c r="F37" s="100">
        <f>SUM(F34:F36)</f>
        <v>100000</v>
      </c>
      <c r="G37" s="100">
        <f>SUM(G34:G36)</f>
        <v>100000</v>
      </c>
      <c r="H37" s="100">
        <f>SUM(H34:H36)</f>
        <v>100000</v>
      </c>
      <c r="I37" s="73">
        <v>781250</v>
      </c>
      <c r="J37" s="100">
        <f>SUM(J34:J36)</f>
        <v>500000</v>
      </c>
    </row>
    <row r="38" spans="2:15" x14ac:dyDescent="0.25">
      <c r="B38" s="17"/>
      <c r="C38" s="77" t="s">
        <v>72</v>
      </c>
      <c r="D38" s="68" t="s">
        <v>28</v>
      </c>
      <c r="E38" s="68"/>
      <c r="F38" s="68"/>
      <c r="G38" s="68"/>
      <c r="H38" s="68"/>
      <c r="I38" s="73">
        <v>2083335</v>
      </c>
      <c r="J38" s="75"/>
    </row>
    <row r="39" spans="2:15" ht="65.25" customHeight="1" x14ac:dyDescent="0.25">
      <c r="B39" s="17"/>
      <c r="C39" s="74" t="s">
        <v>100</v>
      </c>
      <c r="D39" s="194">
        <f>5*994.96*12</f>
        <v>59697.600000000006</v>
      </c>
      <c r="E39" s="194">
        <f t="shared" ref="E39:H39" si="10">5*994.96*12</f>
        <v>59697.600000000006</v>
      </c>
      <c r="F39" s="194">
        <f t="shared" si="10"/>
        <v>59697.600000000006</v>
      </c>
      <c r="G39" s="194">
        <f t="shared" si="10"/>
        <v>59697.600000000006</v>
      </c>
      <c r="H39" s="194">
        <f t="shared" si="10"/>
        <v>59697.600000000006</v>
      </c>
      <c r="I39" s="182"/>
      <c r="J39" s="194">
        <f>SUM(D39:H39)</f>
        <v>298488</v>
      </c>
      <c r="K39" s="248" t="s">
        <v>171</v>
      </c>
      <c r="L39" s="249"/>
      <c r="M39" s="249"/>
      <c r="N39" s="249"/>
      <c r="O39" s="249"/>
    </row>
    <row r="40" spans="2:15" x14ac:dyDescent="0.25">
      <c r="B40" s="17"/>
      <c r="C40" s="74"/>
      <c r="D40" s="75"/>
      <c r="E40" s="75"/>
      <c r="F40" s="75"/>
      <c r="G40" s="75"/>
      <c r="H40" s="75"/>
      <c r="I40" s="69"/>
      <c r="J40" s="75"/>
      <c r="K40" s="248"/>
      <c r="L40" s="249"/>
      <c r="M40" s="249"/>
      <c r="N40" s="249"/>
      <c r="O40" s="249"/>
    </row>
    <row r="41" spans="2:15" ht="30" x14ac:dyDescent="0.25">
      <c r="B41" s="17"/>
      <c r="C41" s="253" t="s">
        <v>254</v>
      </c>
      <c r="D41" s="169"/>
      <c r="E41" s="169"/>
      <c r="F41" s="169"/>
      <c r="G41" s="169"/>
      <c r="H41" s="169"/>
      <c r="I41" s="254"/>
      <c r="J41" s="169"/>
      <c r="K41" s="273" t="s">
        <v>247</v>
      </c>
      <c r="L41" s="233"/>
      <c r="M41" s="233"/>
      <c r="N41" s="233"/>
      <c r="O41" s="233"/>
    </row>
    <row r="42" spans="2:15" x14ac:dyDescent="0.25">
      <c r="B42" s="17"/>
      <c r="C42" s="168" t="s">
        <v>244</v>
      </c>
      <c r="D42" s="169">
        <f>'Water Transportation'!D53</f>
        <v>3400000</v>
      </c>
      <c r="E42" s="169">
        <f>'Water Transportation'!E53</f>
        <v>1400000</v>
      </c>
      <c r="F42" s="169">
        <f>'Water Transportation'!F53</f>
        <v>1400000</v>
      </c>
      <c r="G42" s="169">
        <f>'Water Transportation'!G53</f>
        <v>1400000</v>
      </c>
      <c r="H42" s="169">
        <f>'Water Transportation'!H53</f>
        <v>1400000</v>
      </c>
      <c r="I42" s="254"/>
      <c r="J42" s="169">
        <f>SUM(D42:H42)</f>
        <v>9000000</v>
      </c>
      <c r="K42" s="233"/>
      <c r="L42" s="233"/>
      <c r="M42" s="233"/>
      <c r="N42" s="233"/>
      <c r="O42" s="233"/>
    </row>
    <row r="43" spans="2:15" x14ac:dyDescent="0.25">
      <c r="B43" s="17"/>
      <c r="C43" s="168" t="s">
        <v>245</v>
      </c>
      <c r="D43" s="169">
        <f>'Rail Infrastructure'!D58</f>
        <v>12207200</v>
      </c>
      <c r="E43" s="169">
        <f>'Rail Infrastructure'!E58</f>
        <v>0</v>
      </c>
      <c r="F43" s="169">
        <f>'Rail Infrastructure'!F58</f>
        <v>0</v>
      </c>
      <c r="G43" s="169">
        <f>'Rail Infrastructure'!G58</f>
        <v>0</v>
      </c>
      <c r="H43" s="169">
        <f>'Rail Infrastructure'!H58</f>
        <v>0</v>
      </c>
      <c r="I43" s="254"/>
      <c r="J43" s="169">
        <f t="shared" ref="J43:J48" si="11">SUM(D43:H43)</f>
        <v>12207200</v>
      </c>
      <c r="K43" s="233"/>
      <c r="L43" s="233"/>
      <c r="M43" s="233"/>
      <c r="N43" s="233"/>
      <c r="O43" s="233"/>
    </row>
    <row r="44" spans="2:15" x14ac:dyDescent="0.25">
      <c r="B44" s="17"/>
      <c r="C44" s="168" t="s">
        <v>246</v>
      </c>
      <c r="D44" s="169">
        <f>'Vehicle-to-Grid Integration'!D51</f>
        <v>2552320</v>
      </c>
      <c r="E44" s="169">
        <f>'Vehicle-to-Grid Integration'!E51</f>
        <v>4012416.5</v>
      </c>
      <c r="F44" s="169">
        <f>'Vehicle-to-Grid Integration'!F51</f>
        <v>2852507.5</v>
      </c>
      <c r="G44" s="169">
        <f>'Vehicle-to-Grid Integration'!G51</f>
        <v>2085150</v>
      </c>
      <c r="H44" s="169">
        <f>'Vehicle-to-Grid Integration'!H51</f>
        <v>2085150</v>
      </c>
      <c r="I44" s="254"/>
      <c r="J44" s="169">
        <f t="shared" si="11"/>
        <v>13587544</v>
      </c>
      <c r="K44" s="233"/>
      <c r="L44" s="233"/>
      <c r="M44" s="233"/>
      <c r="N44" s="233"/>
      <c r="O44" s="233"/>
    </row>
    <row r="45" spans="2:15" x14ac:dyDescent="0.25">
      <c r="B45" s="17"/>
      <c r="C45" s="168" t="s">
        <v>248</v>
      </c>
      <c r="D45" s="169">
        <f>'Tribal Fleets'!D53</f>
        <v>4814400</v>
      </c>
      <c r="E45" s="169">
        <f>'Tribal Fleets'!E53</f>
        <v>769120</v>
      </c>
      <c r="F45" s="169">
        <f>'Tribal Fleets'!F53</f>
        <v>774076</v>
      </c>
      <c r="G45" s="169">
        <f>'Tribal Fleets'!G53</f>
        <v>779280.98</v>
      </c>
      <c r="H45" s="169">
        <f>'Tribal Fleets'!H53</f>
        <v>784745.0290000001</v>
      </c>
      <c r="I45" s="254"/>
      <c r="J45" s="169">
        <f t="shared" si="11"/>
        <v>7921622.0090000005</v>
      </c>
      <c r="K45" s="233"/>
      <c r="L45" s="233"/>
      <c r="M45" s="233"/>
      <c r="N45" s="233"/>
      <c r="O45" s="233"/>
    </row>
    <row r="46" spans="2:15" x14ac:dyDescent="0.25">
      <c r="B46" s="17"/>
      <c r="C46" s="168" t="s">
        <v>249</v>
      </c>
      <c r="D46" s="169">
        <f>'SCC energy district'!D59</f>
        <v>1817182.6570550948</v>
      </c>
      <c r="E46" s="169">
        <f>'SCC energy district'!E59</f>
        <v>4772679.6334885303</v>
      </c>
      <c r="F46" s="169">
        <f>'SCC energy district'!F59</f>
        <v>3146480.0815260615</v>
      </c>
      <c r="G46" s="169">
        <f>'SCC energy district'!G59</f>
        <v>715599.17652119743</v>
      </c>
      <c r="H46" s="169">
        <f>'SCC energy district'!H59</f>
        <v>81579.92857142858</v>
      </c>
      <c r="I46" s="254"/>
      <c r="J46" s="169">
        <f t="shared" si="11"/>
        <v>10533521.477162313</v>
      </c>
      <c r="K46" s="233"/>
      <c r="L46" s="233"/>
      <c r="M46" s="233"/>
      <c r="N46" s="233"/>
      <c r="O46" s="233"/>
    </row>
    <row r="47" spans="2:15" x14ac:dyDescent="0.25">
      <c r="B47" s="17"/>
      <c r="C47" s="168" t="s">
        <v>250</v>
      </c>
      <c r="D47" s="169">
        <f>'WWU energy district'!D62</f>
        <v>825177.98479999998</v>
      </c>
      <c r="E47" s="169">
        <f>'WWU energy district'!E62</f>
        <v>4036994.4628000003</v>
      </c>
      <c r="F47" s="169">
        <f>'WWU energy district'!F62</f>
        <v>0</v>
      </c>
      <c r="G47" s="169">
        <f>'WWU energy district'!G62</f>
        <v>0</v>
      </c>
      <c r="H47" s="169">
        <f>'WWU energy district'!H62</f>
        <v>0</v>
      </c>
      <c r="I47" s="254"/>
      <c r="J47" s="169">
        <f t="shared" si="11"/>
        <v>4862172.4476000005</v>
      </c>
      <c r="K47" s="233"/>
      <c r="L47" s="233"/>
      <c r="M47" s="233"/>
      <c r="N47" s="233"/>
      <c r="O47" s="233"/>
    </row>
    <row r="48" spans="2:15" x14ac:dyDescent="0.25">
      <c r="B48" s="17"/>
      <c r="C48" s="168" t="s">
        <v>252</v>
      </c>
      <c r="D48" s="169">
        <f>AD!D62</f>
        <v>2216000</v>
      </c>
      <c r="E48" s="169">
        <f>AD!E62</f>
        <v>82000</v>
      </c>
      <c r="F48" s="169">
        <f>AD!F62</f>
        <v>84000</v>
      </c>
      <c r="G48" s="169">
        <f>AD!G62</f>
        <v>86000</v>
      </c>
      <c r="H48" s="169">
        <f>AD!H62</f>
        <v>88000</v>
      </c>
      <c r="I48" s="254"/>
      <c r="J48" s="169">
        <f t="shared" si="11"/>
        <v>2556000</v>
      </c>
      <c r="K48" s="233"/>
      <c r="L48" s="233"/>
      <c r="M48" s="233"/>
      <c r="N48" s="233"/>
      <c r="O48" s="233"/>
    </row>
    <row r="49" spans="2:11" x14ac:dyDescent="0.25">
      <c r="B49" s="17"/>
      <c r="C49" s="168" t="s">
        <v>251</v>
      </c>
      <c r="D49" s="169">
        <f>SUM(D42:D48)</f>
        <v>27832280.641855095</v>
      </c>
      <c r="E49" s="169">
        <f>SUM(E42:E48)</f>
        <v>15073210.59628853</v>
      </c>
      <c r="F49" s="169">
        <f>SUM(F42:F48)</f>
        <v>8257063.5815260615</v>
      </c>
      <c r="G49" s="169">
        <f>SUM(G42:G48)</f>
        <v>5066030.1565211974</v>
      </c>
      <c r="H49" s="169">
        <f>SUM(H42:H48)</f>
        <v>4439474.9575714283</v>
      </c>
      <c r="I49" s="254"/>
      <c r="J49" s="255">
        <f>SUM(D49:H49)</f>
        <v>60668059.933762312</v>
      </c>
    </row>
    <row r="50" spans="2:11" x14ac:dyDescent="0.25">
      <c r="B50" s="17"/>
      <c r="C50" s="266" t="s">
        <v>257</v>
      </c>
      <c r="D50" s="255">
        <f>D49+D39</f>
        <v>27891978.241855096</v>
      </c>
      <c r="E50" s="255">
        <f t="shared" ref="E50:H50" si="12">E49+E39</f>
        <v>15132908.19628853</v>
      </c>
      <c r="F50" s="255">
        <f t="shared" si="12"/>
        <v>8316761.1815260611</v>
      </c>
      <c r="G50" s="255">
        <f t="shared" si="12"/>
        <v>5125727.756521197</v>
      </c>
      <c r="H50" s="255">
        <f t="shared" si="12"/>
        <v>4499172.5575714279</v>
      </c>
      <c r="I50" s="267"/>
      <c r="J50" s="256">
        <f>SUM(D50:H50)</f>
        <v>60966547.933762312</v>
      </c>
    </row>
    <row r="51" spans="2:11" x14ac:dyDescent="0.25">
      <c r="B51" s="17"/>
      <c r="C51" s="76" t="s">
        <v>16</v>
      </c>
      <c r="D51" s="100">
        <f>SUM(D39)</f>
        <v>59697.600000000006</v>
      </c>
      <c r="E51" s="100">
        <f t="shared" ref="E51:H51" si="13">SUM(E39)</f>
        <v>59697.600000000006</v>
      </c>
      <c r="F51" s="100">
        <f t="shared" si="13"/>
        <v>59697.600000000006</v>
      </c>
      <c r="G51" s="100">
        <f t="shared" si="13"/>
        <v>59697.600000000006</v>
      </c>
      <c r="H51" s="100">
        <f t="shared" si="13"/>
        <v>59697.600000000006</v>
      </c>
      <c r="I51" s="69"/>
      <c r="J51" s="100">
        <f>SUM(D51:H51)</f>
        <v>298488</v>
      </c>
    </row>
    <row r="52" spans="2:11" x14ac:dyDescent="0.25">
      <c r="B52" s="18"/>
      <c r="C52" s="76" t="s">
        <v>17</v>
      </c>
      <c r="D52" s="100">
        <f>SUM(D51,D37,D32,D28,D25,D22,D14)</f>
        <v>857398.375</v>
      </c>
      <c r="E52" s="100">
        <f>SUM(E51,E37,E32,E28,E25,E22,E14)</f>
        <v>833398.375</v>
      </c>
      <c r="F52" s="100">
        <f>SUM(F51,F37,F32,F28,F25,F22,F14)</f>
        <v>831958.375</v>
      </c>
      <c r="G52" s="100">
        <f>SUM(G51,G37,G32,G28,G25,G22,G14)</f>
        <v>831958.375</v>
      </c>
      <c r="H52" s="100">
        <f>SUM(H51,H37,H32,H28,H25,H22,H14)</f>
        <v>831958.375</v>
      </c>
      <c r="I52" s="69"/>
      <c r="J52" s="100">
        <f>SUM(D52:H52)</f>
        <v>4186671.875</v>
      </c>
      <c r="K52" t="s">
        <v>32</v>
      </c>
    </row>
    <row r="53" spans="2:11" x14ac:dyDescent="0.25">
      <c r="B53" s="268"/>
      <c r="C53" s="269" t="s">
        <v>258</v>
      </c>
      <c r="D53" s="270">
        <f>SUM(D50+D37+D32+D28+D25+D22+D14)</f>
        <v>28689679.016855095</v>
      </c>
      <c r="E53" s="270">
        <f t="shared" ref="E53:H53" si="14">SUM(E50+E37+E32+E28+E25+E22+E14)</f>
        <v>15906608.97128853</v>
      </c>
      <c r="F53" s="270">
        <f t="shared" si="14"/>
        <v>9089021.9565260615</v>
      </c>
      <c r="G53" s="270">
        <f t="shared" si="14"/>
        <v>5897988.5315211974</v>
      </c>
      <c r="H53" s="270">
        <f t="shared" si="14"/>
        <v>5271433.3325714283</v>
      </c>
      <c r="I53" s="254"/>
      <c r="J53" s="274">
        <f>SUM(D53:H53)</f>
        <v>64854731.808762312</v>
      </c>
    </row>
    <row r="54" spans="2:11" x14ac:dyDescent="0.25">
      <c r="B54" s="6"/>
      <c r="C54" s="69"/>
      <c r="D54" s="69"/>
      <c r="E54" s="69"/>
      <c r="F54" s="69"/>
      <c r="G54" s="69"/>
      <c r="H54" s="69"/>
      <c r="I54" s="69"/>
      <c r="J54" s="69" t="s">
        <v>18</v>
      </c>
    </row>
    <row r="55" spans="2:11" x14ac:dyDescent="0.25">
      <c r="B55" s="16" t="s">
        <v>36</v>
      </c>
      <c r="C55" s="78" t="s">
        <v>36</v>
      </c>
      <c r="D55" s="70"/>
      <c r="E55" s="70"/>
      <c r="F55" s="70"/>
      <c r="G55" s="70"/>
      <c r="H55" s="70"/>
      <c r="I55" s="69"/>
      <c r="J55" s="70" t="s">
        <v>18</v>
      </c>
    </row>
    <row r="56" spans="2:11" x14ac:dyDescent="0.25">
      <c r="B56" s="17"/>
      <c r="C56" s="66" t="s">
        <v>187</v>
      </c>
      <c r="D56" s="114">
        <f>(D14+D22)*0.329</f>
        <v>221154.05497500001</v>
      </c>
      <c r="E56" s="114">
        <f>(E14+E22)*0.329</f>
        <v>221154.05497500001</v>
      </c>
      <c r="F56" s="114">
        <f>(F14+F22)*0.329</f>
        <v>221154.05497500001</v>
      </c>
      <c r="G56" s="114">
        <f>(G14+G22)*0.329</f>
        <v>221154.05497500001</v>
      </c>
      <c r="H56" s="114">
        <f>(H14+H22)*0.329</f>
        <v>221154.05497500001</v>
      </c>
      <c r="I56" s="69"/>
      <c r="J56" s="109">
        <f>SUM(D56:H56)</f>
        <v>1105770.2748750001</v>
      </c>
      <c r="K56" t="s">
        <v>188</v>
      </c>
    </row>
    <row r="57" spans="2:11" s="1" customFormat="1" x14ac:dyDescent="0.25">
      <c r="B57" s="17"/>
      <c r="C57" s="74"/>
      <c r="D57" s="68"/>
      <c r="E57" s="68"/>
      <c r="F57" s="68"/>
      <c r="G57" s="68"/>
      <c r="H57" s="68"/>
      <c r="I57" s="69">
        <f>SUM(I55,I40)</f>
        <v>0</v>
      </c>
      <c r="J57" s="75"/>
    </row>
    <row r="58" spans="2:11" x14ac:dyDescent="0.25">
      <c r="B58" s="18"/>
      <c r="C58" s="76" t="s">
        <v>19</v>
      </c>
      <c r="D58" s="110">
        <f>SUM(D56:D57)</f>
        <v>221154.05497500001</v>
      </c>
      <c r="E58" s="110">
        <f t="shared" ref="E58:H58" si="15">SUM(E56:E57)</f>
        <v>221154.05497500001</v>
      </c>
      <c r="F58" s="110">
        <f t="shared" si="15"/>
        <v>221154.05497500001</v>
      </c>
      <c r="G58" s="110">
        <f t="shared" si="15"/>
        <v>221154.05497500001</v>
      </c>
      <c r="H58" s="110">
        <f t="shared" si="15"/>
        <v>221154.05497500001</v>
      </c>
      <c r="I58" s="69"/>
      <c r="J58" s="110">
        <f>SUM(D58:H58)</f>
        <v>1105770.2748750001</v>
      </c>
    </row>
    <row r="59" spans="2:11" ht="15.75" thickBot="1" x14ac:dyDescent="0.3">
      <c r="B59" s="6"/>
      <c r="C59" s="69"/>
      <c r="D59" s="69"/>
      <c r="E59" s="69"/>
      <c r="F59" s="69"/>
      <c r="G59" s="69"/>
      <c r="H59" s="69"/>
      <c r="I59" s="69"/>
      <c r="J59" s="69" t="s">
        <v>18</v>
      </c>
    </row>
    <row r="60" spans="2:11" ht="15.75" thickBot="1" x14ac:dyDescent="0.3">
      <c r="B60" s="14" t="s">
        <v>20</v>
      </c>
      <c r="C60" s="79"/>
      <c r="D60" s="199">
        <f>SUM(D58,D52)</f>
        <v>1078552.429975</v>
      </c>
      <c r="E60" s="108">
        <f t="shared" ref="E60:H60" si="16">SUM(E58,E52)</f>
        <v>1054552.429975</v>
      </c>
      <c r="F60" s="108">
        <f t="shared" si="16"/>
        <v>1053112.429975</v>
      </c>
      <c r="G60" s="108">
        <f t="shared" si="16"/>
        <v>1053112.429975</v>
      </c>
      <c r="H60" s="108">
        <f t="shared" si="16"/>
        <v>1053112.429975</v>
      </c>
      <c r="I60" s="69"/>
      <c r="J60" s="199">
        <f>SUM(J58+J52)</f>
        <v>5292442.1498750001</v>
      </c>
    </row>
    <row r="61" spans="2:11" x14ac:dyDescent="0.25">
      <c r="B61" s="6"/>
    </row>
    <row r="62" spans="2:11" x14ac:dyDescent="0.25">
      <c r="B62" s="6"/>
    </row>
    <row r="63" spans="2:11" x14ac:dyDescent="0.25">
      <c r="B63" s="6"/>
    </row>
    <row r="64" spans="2:11"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row r="75" spans="2:2" x14ac:dyDescent="0.25">
      <c r="B75" s="6"/>
    </row>
  </sheetData>
  <mergeCells count="2">
    <mergeCell ref="K39:O40"/>
    <mergeCell ref="B3:D3"/>
  </mergeCells>
  <pageMargins left="0.7" right="0.7" top="0.75" bottom="0.75" header="0.3" footer="0.3"/>
  <pageSetup orientation="portrait" horizontalDpi="1200" verticalDpi="1200" r:id="rId1"/>
  <ignoredErrors>
    <ignoredError sqref="J8 J3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AM48"/>
  <sheetViews>
    <sheetView showGridLines="0" tabSelected="1" topLeftCell="A7" zoomScale="83" zoomScaleNormal="85" workbookViewId="0">
      <selection activeCell="B21" sqref="B21"/>
    </sheetView>
  </sheetViews>
  <sheetFormatPr defaultColWidth="9.140625" defaultRowHeight="15" customHeight="1" x14ac:dyDescent="0.25"/>
  <cols>
    <col min="1" max="1" width="3.140625" customWidth="1"/>
    <col min="2" max="2" width="12.140625" customWidth="1"/>
    <col min="3" max="3" width="45.42578125" customWidth="1"/>
    <col min="4" max="4" width="15" style="6" customWidth="1"/>
    <col min="5" max="5" width="18.140625" style="2" customWidth="1"/>
    <col min="6" max="6" width="17.5703125" customWidth="1"/>
    <col min="7" max="7" width="15.7109375" customWidth="1"/>
    <col min="8" max="8" width="15.28515625" style="2" customWidth="1"/>
    <col min="9" max="9" width="14" style="7" customWidth="1"/>
    <col min="10" max="10" width="28.5703125" customWidth="1"/>
    <col min="11" max="11" width="30" customWidth="1"/>
    <col min="12" max="12" width="23" customWidth="1"/>
    <col min="13" max="13" width="13" bestFit="1" customWidth="1"/>
    <col min="14" max="14" width="11.42578125" bestFit="1" customWidth="1"/>
  </cols>
  <sheetData>
    <row r="2" spans="2:39" ht="23.25" x14ac:dyDescent="0.35">
      <c r="B2" s="20" t="s">
        <v>209</v>
      </c>
    </row>
    <row r="3" spans="2:39" ht="26.45" customHeight="1" x14ac:dyDescent="0.25">
      <c r="B3" s="236"/>
      <c r="C3" s="236"/>
      <c r="D3" s="236"/>
      <c r="E3" s="236"/>
      <c r="F3" s="236"/>
      <c r="G3" s="236"/>
      <c r="H3" s="236"/>
      <c r="I3" s="236"/>
      <c r="J3" s="236"/>
    </row>
    <row r="4" spans="2:39" ht="15" customHeight="1" x14ac:dyDescent="0.25">
      <c r="B4" s="5"/>
    </row>
    <row r="5" spans="2:39" ht="18.75" x14ac:dyDescent="0.3">
      <c r="B5" s="34" t="s">
        <v>255</v>
      </c>
      <c r="C5" s="35"/>
      <c r="D5" s="35"/>
      <c r="E5" s="35"/>
      <c r="F5" s="35"/>
      <c r="G5" s="35"/>
      <c r="H5" s="35"/>
      <c r="I5"/>
      <c r="J5" s="48"/>
    </row>
    <row r="6" spans="2:39" ht="17.100000000000001" customHeight="1" x14ac:dyDescent="0.25">
      <c r="B6" s="36" t="s">
        <v>1</v>
      </c>
      <c r="C6" s="36" t="s">
        <v>2</v>
      </c>
      <c r="D6" s="36" t="s">
        <v>3</v>
      </c>
      <c r="E6" s="37" t="s">
        <v>4</v>
      </c>
      <c r="F6" s="37" t="s">
        <v>5</v>
      </c>
      <c r="G6" s="37" t="s">
        <v>6</v>
      </c>
      <c r="H6" s="38" t="s">
        <v>7</v>
      </c>
      <c r="I6"/>
      <c r="J6" s="49" t="s">
        <v>8</v>
      </c>
      <c r="K6" s="215" t="s">
        <v>198</v>
      </c>
    </row>
    <row r="7" spans="2:39" s="5" customFormat="1" x14ac:dyDescent="0.25">
      <c r="B7" s="16" t="s">
        <v>9</v>
      </c>
      <c r="C7" s="39" t="s">
        <v>10</v>
      </c>
      <c r="D7" s="51">
        <f>'Water Transportation'!D11+'Rail Infrastructure'!D9+'Vehicle-to-Grid Integration'!D11+'Tribal Fleets'!D11+'SCC energy district'!D11+'WWU energy district'!D12+AD!D11+'Tribal CE grant'!D11+'Commerce Subaward Management'!D14</f>
        <v>778441.85</v>
      </c>
      <c r="E7" s="51">
        <f>'Water Transportation'!E11+'Rail Infrastructure'!E9+'Vehicle-to-Grid Integration'!E11+'Tribal Fleets'!E11+'SCC energy district'!E11+'WWU energy district'!E12+AD!E11+'Tribal CE grant'!E11+'Commerce Subaward Management'!E14</f>
        <v>839456.1</v>
      </c>
      <c r="F7" s="51">
        <f>'Water Transportation'!F11+'Rail Infrastructure'!F9+'Vehicle-to-Grid Integration'!F11+'Tribal Fleets'!F11+'SCC energy district'!F11+'WWU energy district'!F12+AD!F11+'Tribal CE grant'!F11+'Commerce Subaward Management'!F14</f>
        <v>740160.85</v>
      </c>
      <c r="G7" s="51">
        <f>'Water Transportation'!G11+'Rail Infrastructure'!G9+'Vehicle-to-Grid Integration'!G11+'Tribal Fleets'!G11+'SCC energy district'!G11+'WWU energy district'!G12+AD!G11+'Tribal CE grant'!G11+'Commerce Subaward Management'!G14</f>
        <v>689041.6</v>
      </c>
      <c r="H7" s="51">
        <f>'Water Transportation'!H11+'Rail Infrastructure'!H9+'Vehicle-to-Grid Integration'!H11+'Tribal Fleets'!H11+'SCC energy district'!H11+'WWU energy district'!H12+AD!H11+'Tribal CE grant'!H11+'Commerce Subaward Management'!H14</f>
        <v>693672.15</v>
      </c>
      <c r="I7" s="196"/>
      <c r="J7" s="228">
        <f t="shared" ref="J7:J13" si="0">SUM(D7:H7)</f>
        <v>3740772.55</v>
      </c>
      <c r="K7" s="202">
        <f>J7/$J$18</f>
        <v>4.5677000040227178E-2</v>
      </c>
      <c r="L7" s="226"/>
      <c r="M7"/>
      <c r="N7"/>
      <c r="O7"/>
      <c r="P7"/>
      <c r="Q7"/>
      <c r="R7"/>
      <c r="S7"/>
      <c r="T7"/>
      <c r="U7"/>
      <c r="V7"/>
      <c r="W7"/>
      <c r="X7"/>
      <c r="Y7"/>
      <c r="Z7"/>
      <c r="AA7"/>
      <c r="AB7"/>
      <c r="AC7"/>
      <c r="AD7"/>
      <c r="AE7"/>
      <c r="AF7"/>
      <c r="AG7"/>
      <c r="AH7"/>
      <c r="AI7"/>
      <c r="AJ7"/>
      <c r="AK7"/>
      <c r="AL7"/>
      <c r="AM7"/>
    </row>
    <row r="8" spans="2:39" x14ac:dyDescent="0.25">
      <c r="B8" s="17"/>
      <c r="C8" s="39" t="s">
        <v>49</v>
      </c>
      <c r="D8" s="51">
        <f>'Water Transportation'!D16+'Rail Infrastructure'!D12+'Vehicle-to-Grid Integration'!D16+'Tribal Fleets'!D16+'SCC energy district'!D16+'WWU energy district'!D17+AD!D16+'Tribal CE grant'!D16+'Commerce Subaward Management'!D22</f>
        <v>247041.04199999999</v>
      </c>
      <c r="E8" s="51">
        <f>'Water Transportation'!E16+'Rail Infrastructure'!E12+'Vehicle-to-Grid Integration'!E16+'Tribal Fleets'!E16+'SCC energy district'!E16+'WWU energy district'!E17+AD!E16+'Tribal CE grant'!E16+'Commerce Subaward Management'!E22</f>
        <v>248187.94699999999</v>
      </c>
      <c r="F8" s="51">
        <f>'Water Transportation'!F16+'Rail Infrastructure'!F12+'Vehicle-to-Grid Integration'!F16+'Tribal Fleets'!F16+'SCC energy district'!F16+'WWU energy district'!F17+AD!F16+'Tribal CE grant'!F16+'Commerce Subaward Management'!F22</f>
        <v>233355.32199999999</v>
      </c>
      <c r="G8" s="51">
        <f>'Water Transportation'!G16+'Rail Infrastructure'!G12+'Vehicle-to-Grid Integration'!G16+'Tribal Fleets'!G16+'SCC energy district'!G16+'WWU energy district'!G17+AD!G16+'Tribal CE grant'!G16+'Commerce Subaward Management'!G22</f>
        <v>234149.302</v>
      </c>
      <c r="H8" s="51">
        <f>'Water Transportation'!H16+'Rail Infrastructure'!H12+'Vehicle-to-Grid Integration'!H16+'Tribal Fleets'!H16+'SCC energy district'!H16+'WWU energy district'!H17+AD!H16+'Tribal CE grant'!H16+'Commerce Subaward Management'!H22</f>
        <v>234982.80099999998</v>
      </c>
      <c r="I8" s="196"/>
      <c r="J8" s="228">
        <f t="shared" si="0"/>
        <v>1197716.4139999999</v>
      </c>
      <c r="K8" s="202">
        <f t="shared" ref="K8:K16" si="1">J8/$J$18</f>
        <v>1.4624811308150437E-2</v>
      </c>
      <c r="L8" s="226"/>
    </row>
    <row r="9" spans="2:39" x14ac:dyDescent="0.25">
      <c r="B9" s="17"/>
      <c r="C9" s="39" t="s">
        <v>50</v>
      </c>
      <c r="D9" s="51">
        <f>'Water Transportation'!D26+'Rail Infrastructure'!D15+'Vehicle-to-Grid Integration'!D20+'Tribal Fleets'!D26+'SCC energy district'!D26+'WWU energy district'!D22+AD!D27+'Tribal CE grant'!D23+'Commerce Subaward Management'!D25</f>
        <v>16881.800000000003</v>
      </c>
      <c r="E9" s="51">
        <f>'Water Transportation'!E26+'Rail Infrastructure'!E15+'Vehicle-to-Grid Integration'!E20+'Tribal Fleets'!E26+'SCC energy district'!E26+'WWU energy district'!E22+AD!E27+'Tribal CE grant'!E23+'Commerce Subaward Management'!E25</f>
        <v>9241.4000000000015</v>
      </c>
      <c r="F9" s="51">
        <f>'Water Transportation'!F26+'Rail Infrastructure'!F15+'Vehicle-to-Grid Integration'!F20+'Tribal Fleets'!F26+'SCC energy district'!F26+'WWU energy district'!F22+AD!F27+'Tribal CE grant'!F23+'Commerce Subaward Management'!F25</f>
        <v>9241.4000000000015</v>
      </c>
      <c r="G9" s="51">
        <f>'Water Transportation'!G26+'Rail Infrastructure'!G15+'Vehicle-to-Grid Integration'!G20+'Tribal Fleets'!G26+'SCC energy district'!G26+'WWU energy district'!G22+AD!G27+'Tribal CE grant'!G23+'Commerce Subaward Management'!G25</f>
        <v>9241.4000000000015</v>
      </c>
      <c r="H9" s="51">
        <f>'Water Transportation'!H26+'Rail Infrastructure'!H15+'Vehicle-to-Grid Integration'!H20+'Tribal Fleets'!H26+'SCC energy district'!H26+'WWU energy district'!H22+AD!H27+'Tribal CE grant'!H23+'Commerce Subaward Management'!H25</f>
        <v>9241.4000000000015</v>
      </c>
      <c r="I9" s="196"/>
      <c r="J9" s="228">
        <f t="shared" si="0"/>
        <v>53847.400000000009</v>
      </c>
      <c r="K9" s="202">
        <f t="shared" si="1"/>
        <v>6.5750795032061744E-4</v>
      </c>
      <c r="L9" s="226"/>
    </row>
    <row r="10" spans="2:39" x14ac:dyDescent="0.25">
      <c r="B10" s="17"/>
      <c r="C10" s="39" t="s">
        <v>51</v>
      </c>
      <c r="D10" s="51">
        <f>'Water Transportation'!D30+'Rail Infrastructure'!D37+'Vehicle-to-Grid Integration'!D26+'Tribal Fleets'!D33+'SCC energy district'!D30+'WWU energy district'!D26+AD!D32+'Tribal CE grant'!D27+'Commerce Subaward Management'!D28</f>
        <v>20296670</v>
      </c>
      <c r="E10" s="51">
        <f>'Water Transportation'!E30+'Rail Infrastructure'!E37+'Vehicle-to-Grid Integration'!E26+'Tribal Fleets'!E33+'SCC energy district'!E30+'WWU energy district'!E26+AD!E32+'Tribal CE grant'!E27+'Commerce Subaward Management'!E28</f>
        <v>2429704</v>
      </c>
      <c r="F10" s="51">
        <f>'Water Transportation'!F30+'Rail Infrastructure'!F37+'Vehicle-to-Grid Integration'!F26+'Tribal Fleets'!F33+'SCC energy district'!F30+'WWU energy district'!F26+AD!F32+'Tribal CE grant'!F27+'Commerce Subaward Management'!F28</f>
        <v>2320920</v>
      </c>
      <c r="G10" s="51">
        <f>'Water Transportation'!G30+'Rail Infrastructure'!G37+'Vehicle-to-Grid Integration'!G26+'Tribal Fleets'!G33+'SCC energy district'!G30+'WWU energy district'!G26+AD!G32+'Tribal CE grant'!G27+'Commerce Subaward Management'!G28</f>
        <v>2220000</v>
      </c>
      <c r="H10" s="51">
        <f>'Water Transportation'!H30+'Rail Infrastructure'!H37+'Vehicle-to-Grid Integration'!H26+'Tribal Fleets'!H33+'SCC energy district'!H30+'WWU energy district'!H26+AD!H32+'Tribal CE grant'!H27+'Commerce Subaward Management'!H28</f>
        <v>2220000</v>
      </c>
      <c r="I10" s="196"/>
      <c r="J10" s="228">
        <f t="shared" si="0"/>
        <v>29487294</v>
      </c>
      <c r="K10" s="202">
        <f t="shared" si="1"/>
        <v>0.36005694311037184</v>
      </c>
      <c r="L10" s="24"/>
    </row>
    <row r="11" spans="2:39" x14ac:dyDescent="0.25">
      <c r="B11" s="17"/>
      <c r="C11" s="39" t="s">
        <v>52</v>
      </c>
      <c r="D11" s="51">
        <f>'Water Transportation'!D34+'Rail Infrastructure'!D40+'Vehicle-to-Grid Integration'!D30+'Tribal Fleets'!D37+'SCC energy district'!D34+'WWU energy district'!D30+AD!D36+'Tribal CE grant'!D30+'Commerce Subaward Management'!D32</f>
        <v>28500</v>
      </c>
      <c r="E11" s="51">
        <f>'Water Transportation'!E34+'Rail Infrastructure'!E40+'Vehicle-to-Grid Integration'!E30+'Tribal Fleets'!E37+'SCC energy district'!E34+'WWU energy district'!E30+AD!E36+'Tribal CE grant'!E30+'Commerce Subaward Management'!E32</f>
        <v>3000</v>
      </c>
      <c r="F11" s="51">
        <f>'Water Transportation'!F34+'Rail Infrastructure'!F40+'Vehicle-to-Grid Integration'!F30+'Tribal Fleets'!F37+'SCC energy district'!F34+'WWU energy district'!F30+AD!F36+'Tribal CE grant'!F30+'Commerce Subaward Management'!F32</f>
        <v>120</v>
      </c>
      <c r="G11" s="51">
        <f>'Water Transportation'!G34+'Rail Infrastructure'!G40+'Vehicle-to-Grid Integration'!G30+'Tribal Fleets'!G37+'SCC energy district'!G34+'WWU energy district'!G30+AD!G36+'Tribal CE grant'!G30+'Commerce Subaward Management'!G32</f>
        <v>120</v>
      </c>
      <c r="H11" s="51">
        <f>'Water Transportation'!H34+'Rail Infrastructure'!H40+'Vehicle-to-Grid Integration'!H30+'Tribal Fleets'!H37+'SCC energy district'!H34+'WWU energy district'!H30+AD!H36+'Tribal CE grant'!H30+'Commerce Subaward Management'!H32</f>
        <v>120</v>
      </c>
      <c r="I11" s="196"/>
      <c r="J11" s="228">
        <f t="shared" si="0"/>
        <v>31860</v>
      </c>
      <c r="K11" s="202">
        <f t="shared" si="1"/>
        <v>3.8902905799007692E-4</v>
      </c>
      <c r="L11" s="226"/>
    </row>
    <row r="12" spans="2:39" x14ac:dyDescent="0.25">
      <c r="B12" s="17"/>
      <c r="C12" s="39" t="s">
        <v>53</v>
      </c>
      <c r="D12" s="51">
        <f>'Water Transportation'!D40+'Rail Infrastructure'!D47+'Vehicle-to-Grid Integration'!D36+'Tribal Fleets'!D40+'SCC energy district'!D44+'WWU energy district'!D48+AD!D40+'Tribal CE grant'!D37+'Commerce Subaward Management'!D37</f>
        <v>4600966.4014473939</v>
      </c>
      <c r="E12" s="51">
        <f>'Water Transportation'!E40+'Rail Infrastructure'!E47+'Vehicle-to-Grid Integration'!E36+'Tribal Fleets'!E40+'SCC energy district'!E44+'WWU energy district'!E48+AD!E40+'Tribal CE grant'!E37+'Commerce Subaward Management'!E37</f>
        <v>9014385.8353638221</v>
      </c>
      <c r="F12" s="51">
        <f>'Water Transportation'!F40+'Rail Infrastructure'!F47+'Vehicle-to-Grid Integration'!F36+'Tribal Fleets'!F40+'SCC energy district'!F44+'WWU energy district'!F48+AD!F40+'Tribal CE grant'!F37+'Commerce Subaward Management'!F37</f>
        <v>3578427.2520997478</v>
      </c>
      <c r="G12" s="51">
        <f>'Water Transportation'!G40+'Rail Infrastructure'!G47+'Vehicle-to-Grid Integration'!G36+'Tribal Fleets'!G40+'SCC energy district'!G44+'WWU energy district'!G48+AD!G40+'Tribal CE grant'!G37+'Commerce Subaward Management'!G37</f>
        <v>834726.38961189112</v>
      </c>
      <c r="H12" s="51">
        <f>'Water Transportation'!H40+'Rail Infrastructure'!H47+'Vehicle-to-Grid Integration'!H36+'Tribal Fleets'!H40+'SCC energy district'!H44+'WWU energy district'!H48+AD!H40+'Tribal CE grant'!H37+'Commerce Subaward Management'!H37</f>
        <v>280271.42857142858</v>
      </c>
      <c r="I12" s="196"/>
      <c r="J12" s="228">
        <f t="shared" si="0"/>
        <v>18308777.307094287</v>
      </c>
      <c r="K12" s="202">
        <f t="shared" si="1"/>
        <v>0.22356077805175731</v>
      </c>
      <c r="L12" s="24"/>
    </row>
    <row r="13" spans="2:39" x14ac:dyDescent="0.25">
      <c r="B13" s="17"/>
      <c r="C13" s="39" t="s">
        <v>16</v>
      </c>
      <c r="D13" s="51">
        <f>'Water Transportation'!D45+'Rail Infrastructure'!D50+'Vehicle-to-Grid Integration'!D41+'Tribal Fleets'!D45+'SCC energy district'!D49+'WWU energy district'!D53+AD!D55+'Tribal CE grant'!D42+'Commerce Subaward Management'!D51</f>
        <v>17845530.197607704</v>
      </c>
      <c r="E13" s="51">
        <f>'Water Transportation'!E45+'Rail Infrastructure'!E50+'Vehicle-to-Grid Integration'!E41+'Tribal Fleets'!E45+'SCC energy district'!E49+'WWU energy district'!E53+AD!E55+'Tribal CE grant'!E42+'Commerce Subaward Management'!E51</f>
        <v>3352627.6901247087</v>
      </c>
      <c r="F13" s="51">
        <f>'Water Transportation'!F45+'Rail Infrastructure'!F50+'Vehicle-to-Grid Integration'!F41+'Tribal Fleets'!F45+'SCC energy district'!F49+'WWU energy district'!F53+AD!F55+'Tribal CE grant'!F42+'Commerce Subaward Management'!F51</f>
        <v>2350620.1514263139</v>
      </c>
      <c r="G13" s="51">
        <f>'Water Transportation'!G45+'Rail Infrastructure'!G50+'Vehicle-to-Grid Integration'!G41+'Tribal Fleets'!G45+'SCC energy district'!G49+'WWU energy district'!G53+AD!G55+'Tribal CE grant'!G42+'Commerce Subaward Management'!G51</f>
        <v>2054532.8589093066</v>
      </c>
      <c r="H13" s="51">
        <f>'Water Transportation'!H45+'Rail Infrastructure'!H50+'Vehicle-to-Grid Integration'!H41+'Tribal Fleets'!H45+'SCC energy district'!H49+'WWU energy district'!H53+AD!H55+'Tribal CE grant'!H42+'Commerce Subaward Management'!H51</f>
        <v>1976968.5720000002</v>
      </c>
      <c r="I13" s="196"/>
      <c r="J13" s="228">
        <f t="shared" si="0"/>
        <v>27580279.470068034</v>
      </c>
      <c r="K13" s="202">
        <f t="shared" si="1"/>
        <v>0.33677119087707547</v>
      </c>
      <c r="L13" s="24"/>
    </row>
    <row r="14" spans="2:39" x14ac:dyDescent="0.25">
      <c r="B14" s="18"/>
      <c r="C14" s="9" t="s">
        <v>17</v>
      </c>
      <c r="D14" s="100">
        <f>'Water Transportation'!D46+'Rail Infrastructure'!D51+'Vehicle-to-Grid Integration'!D43+'Tribal Fleets'!D46+'SCC energy district'!D51+'WWU energy district'!D54+AD!D56+'Tribal CE grant'!D43+'Commerce Subaward Management'!D52</f>
        <v>43814031.291055098</v>
      </c>
      <c r="E14" s="100">
        <f>'Water Transportation'!E46+'Rail Infrastructure'!E51+'Vehicle-to-Grid Integration'!E43+'Tribal Fleets'!E46+'SCC energy district'!E51+'WWU energy district'!E54+AD!E56+'Tribal CE grant'!E43+'Commerce Subaward Management'!E52</f>
        <v>15896602.97248853</v>
      </c>
      <c r="F14" s="100">
        <f>'Water Transportation'!F46+'Rail Infrastructure'!F51+'Vehicle-to-Grid Integration'!F43+'Tribal Fleets'!F46+'SCC energy district'!F51+'WWU energy district'!F54+AD!F56+'Tribal CE grant'!F43+'Commerce Subaward Management'!F52</f>
        <v>9232844.9755260609</v>
      </c>
      <c r="G14" s="100">
        <f>'Water Transportation'!G46+'Rail Infrastructure'!G51+'Vehicle-to-Grid Integration'!G43+'Tribal Fleets'!G46+'SCC energy district'!G51+'WWU energy district'!G54+AD!G56+'Tribal CE grant'!G43+'Commerce Subaward Management'!G52</f>
        <v>6041811.5505211977</v>
      </c>
      <c r="H14" s="100">
        <f>'Water Transportation'!H46+'Rail Infrastructure'!H51+'Vehicle-to-Grid Integration'!H43+'Tribal Fleets'!H46+'SCC energy district'!H51+'WWU energy district'!H54+AD!H56+'Tribal CE grant'!H43+'Commerce Subaward Management'!H52</f>
        <v>5415256.3515714286</v>
      </c>
      <c r="I14" s="69"/>
      <c r="J14" s="229">
        <f>SUM(D14:H14)</f>
        <v>80400547.141162306</v>
      </c>
      <c r="K14" s="202">
        <f t="shared" si="1"/>
        <v>0.98173726039589271</v>
      </c>
      <c r="L14" s="24"/>
      <c r="N14" s="24"/>
    </row>
    <row r="15" spans="2:39" x14ac:dyDescent="0.25">
      <c r="B15" s="47"/>
      <c r="D15" s="24"/>
      <c r="E15" s="24"/>
      <c r="F15" s="24"/>
      <c r="G15" s="24"/>
      <c r="H15" s="24"/>
      <c r="I15" s="24"/>
      <c r="J15" s="13" t="s">
        <v>18</v>
      </c>
      <c r="K15" s="202"/>
      <c r="L15" s="24"/>
    </row>
    <row r="16" spans="2:39" ht="20.100000000000001" customHeight="1" x14ac:dyDescent="0.25">
      <c r="B16" s="47"/>
      <c r="C16" s="9" t="s">
        <v>19</v>
      </c>
      <c r="D16" s="43">
        <f>'Water Transportation'!D51+'Rail Infrastructure'!D56+'Vehicle-to-Grid Integration'!D48+'Tribal Fleets'!D51+'SCC energy district'!D56+'WWU energy district'!D60+AD!D60+'Tribal CE grant'!D48+'Commerce Subaward Management'!D58</f>
        <v>293909.94776800001</v>
      </c>
      <c r="E16" s="43">
        <f>'Water Transportation'!E51+'Rail Infrastructure'!E56+'Vehicle-to-Grid Integration'!E48+'Tribal Fleets'!E51+'SCC energy district'!E56+'WWU energy district'!E60+AD!E60+'Tribal CE grant'!E48+'Commerce Subaward Management'!E58</f>
        <v>416886.50213799998</v>
      </c>
      <c r="F16" s="43">
        <f>'Water Transportation'!F51+'Rail Infrastructure'!F56+'Vehicle-to-Grid Integration'!F48+'Tribal Fleets'!F51+'SCC energy district'!F56+'WWU energy district'!F60+AD!F60+'Tribal CE grant'!F48+'Commerce Subaward Management'!F58</f>
        <v>261617.48433800001</v>
      </c>
      <c r="G16" s="43">
        <f>'Water Transportation'!G51+'Rail Infrastructure'!G56+'Vehicle-to-Grid Integration'!G48+'Tribal Fleets'!G51+'SCC energy district'!G56+'WWU energy district'!G60+AD!G60+'Tribal CE grant'!G48+'Commerce Subaward Management'!G58</f>
        <v>261617.48433800001</v>
      </c>
      <c r="H16" s="43">
        <f>'Water Transportation'!H51+'Rail Infrastructure'!H56+'Vehicle-to-Grid Integration'!H48+'Tribal Fleets'!H51+'SCC energy district'!H56+'WWU energy district'!H60+AD!H60+'Tribal CE grant'!H48+'Commerce Subaward Management'!H58</f>
        <v>261617.48433800001</v>
      </c>
      <c r="J16" s="230">
        <f>SUM(D16:H16)</f>
        <v>1495648.9029199998</v>
      </c>
      <c r="K16" s="202">
        <f t="shared" si="1"/>
        <v>1.826273960410733E-2</v>
      </c>
    </row>
    <row r="17" spans="2:13" ht="15.75" thickBot="1" x14ac:dyDescent="0.3">
      <c r="B17" s="47"/>
      <c r="D17"/>
      <c r="E17"/>
      <c r="H17"/>
      <c r="I17"/>
      <c r="J17" s="13" t="s">
        <v>18</v>
      </c>
      <c r="K17" s="13"/>
      <c r="L17" s="24"/>
    </row>
    <row r="18" spans="2:13" ht="30.95" customHeight="1" thickBot="1" x14ac:dyDescent="0.3">
      <c r="B18" s="46" t="s">
        <v>20</v>
      </c>
      <c r="C18" s="14"/>
      <c r="D18" s="232">
        <f>D14+D16</f>
        <v>44107941.238823101</v>
      </c>
      <c r="E18" s="232">
        <f t="shared" ref="E18:H18" si="2">E14+E16</f>
        <v>16313489.47462653</v>
      </c>
      <c r="F18" s="232">
        <f t="shared" si="2"/>
        <v>9494462.4598640613</v>
      </c>
      <c r="G18" s="232">
        <f t="shared" si="2"/>
        <v>6303429.0348591981</v>
      </c>
      <c r="H18" s="232">
        <f t="shared" si="2"/>
        <v>5676873.835909429</v>
      </c>
      <c r="I18" s="41"/>
      <c r="J18" s="231">
        <f>J14+J16</f>
        <v>81896196.044082299</v>
      </c>
      <c r="K18" s="13"/>
      <c r="L18" s="217"/>
    </row>
    <row r="19" spans="2:13" s="1" customFormat="1" x14ac:dyDescent="0.25">
      <c r="B19" s="6"/>
      <c r="C19"/>
      <c r="D19" s="197"/>
      <c r="E19" s="197"/>
      <c r="F19" s="197"/>
      <c r="G19" s="197"/>
      <c r="H19" s="197"/>
      <c r="I19" s="7"/>
      <c r="J19" s="24"/>
    </row>
    <row r="20" spans="2:13" ht="15" customHeight="1" x14ac:dyDescent="0.25">
      <c r="D20" s="59"/>
    </row>
    <row r="21" spans="2:13" ht="15" customHeight="1" x14ac:dyDescent="0.3">
      <c r="B21" s="258" t="s">
        <v>256</v>
      </c>
      <c r="C21" s="259"/>
      <c r="D21" s="259"/>
      <c r="E21" s="259"/>
      <c r="F21" s="259"/>
      <c r="G21" s="259"/>
      <c r="H21" s="259"/>
      <c r="I21"/>
      <c r="J21" s="263" t="s">
        <v>260</v>
      </c>
    </row>
    <row r="22" spans="2:13" ht="15" customHeight="1" x14ac:dyDescent="0.25">
      <c r="B22" s="260" t="s">
        <v>1</v>
      </c>
      <c r="C22" s="260" t="s">
        <v>2</v>
      </c>
      <c r="D22" s="260" t="s">
        <v>3</v>
      </c>
      <c r="E22" s="261" t="s">
        <v>4</v>
      </c>
      <c r="F22" s="261" t="s">
        <v>5</v>
      </c>
      <c r="G22" s="261" t="s">
        <v>6</v>
      </c>
      <c r="H22" s="262" t="s">
        <v>7</v>
      </c>
      <c r="I22"/>
      <c r="J22" s="264" t="s">
        <v>8</v>
      </c>
      <c r="K22" s="265" t="s">
        <v>198</v>
      </c>
    </row>
    <row r="23" spans="2:13" ht="15" customHeight="1" x14ac:dyDescent="0.25">
      <c r="B23" s="16" t="s">
        <v>9</v>
      </c>
      <c r="C23" s="39" t="s">
        <v>10</v>
      </c>
      <c r="D23" s="257">
        <f>'Tribal CE grant'!D11+'Commerce Subaward Management'!D14</f>
        <v>581661.6</v>
      </c>
      <c r="E23" s="257">
        <f>'Tribal CE grant'!E11+'Commerce Subaward Management'!E14</f>
        <v>580430.6</v>
      </c>
      <c r="F23" s="257">
        <f>'Tribal CE grant'!F11+'Commerce Subaward Management'!F14</f>
        <v>580430.6</v>
      </c>
      <c r="G23" s="257">
        <f>'Tribal CE grant'!G11+'Commerce Subaward Management'!G14</f>
        <v>580430.6</v>
      </c>
      <c r="H23" s="257">
        <f>'Tribal CE grant'!H11+'Commerce Subaward Management'!H14</f>
        <v>580430.6</v>
      </c>
      <c r="I23" s="196"/>
      <c r="J23" s="275">
        <f>SUM(D23:H23)</f>
        <v>2903384</v>
      </c>
      <c r="K23" s="202">
        <f>J23/$J$18</f>
        <v>3.5452000706323337E-2</v>
      </c>
    </row>
    <row r="24" spans="2:13" ht="15" customHeight="1" x14ac:dyDescent="0.25">
      <c r="B24" s="17"/>
      <c r="C24" s="39" t="s">
        <v>49</v>
      </c>
      <c r="D24" s="257">
        <f>'Tribal CE grant'!D16+'Commerce Subaward Management'!D22</f>
        <v>215214.79199999999</v>
      </c>
      <c r="E24" s="257">
        <f>'Tribal CE grant'!E16+'Commerce Subaward Management'!E22</f>
        <v>214759.32199999999</v>
      </c>
      <c r="F24" s="257">
        <f>'Tribal CE grant'!F16+'Commerce Subaward Management'!F22</f>
        <v>214759.32199999999</v>
      </c>
      <c r="G24" s="257">
        <f>'Tribal CE grant'!G16+'Commerce Subaward Management'!G22</f>
        <v>214759.32199999999</v>
      </c>
      <c r="H24" s="257">
        <f>'Tribal CE grant'!H16+'Commerce Subaward Management'!H22</f>
        <v>214759.32199999999</v>
      </c>
      <c r="I24" s="196"/>
      <c r="J24" s="275">
        <f t="shared" ref="J24:J29" si="3">SUM(D24:H24)</f>
        <v>1074252.0799999998</v>
      </c>
      <c r="K24" s="202">
        <f t="shared" ref="K24:K30" si="4">J24/$J$18</f>
        <v>1.3117240261339633E-2</v>
      </c>
    </row>
    <row r="25" spans="2:13" ht="15" customHeight="1" x14ac:dyDescent="0.25">
      <c r="B25" s="17"/>
      <c r="C25" s="39" t="s">
        <v>50</v>
      </c>
      <c r="D25" s="257">
        <f>'Tribal CE grant'!D23+'Commerce Subaward Management'!D25</f>
        <v>15280.800000000001</v>
      </c>
      <c r="E25" s="257">
        <f>'Tribal CE grant'!E23+'Commerce Subaward Management'!E25</f>
        <v>7640.4000000000005</v>
      </c>
      <c r="F25" s="257">
        <f>'Tribal CE grant'!F23+'Commerce Subaward Management'!F25</f>
        <v>7640.4000000000005</v>
      </c>
      <c r="G25" s="257">
        <f>'Tribal CE grant'!G23+'Commerce Subaward Management'!G25</f>
        <v>7640.4000000000005</v>
      </c>
      <c r="H25" s="257">
        <f>'Tribal CE grant'!H23+'Commerce Subaward Management'!H25</f>
        <v>7640.4000000000005</v>
      </c>
      <c r="I25" s="196"/>
      <c r="J25" s="275">
        <f t="shared" si="3"/>
        <v>45842.400000000001</v>
      </c>
      <c r="K25" s="202">
        <f t="shared" si="4"/>
        <v>5.5976226264922485E-4</v>
      </c>
    </row>
    <row r="26" spans="2:13" ht="15" customHeight="1" x14ac:dyDescent="0.25">
      <c r="B26" s="17"/>
      <c r="C26" s="39" t="s">
        <v>51</v>
      </c>
      <c r="D26" s="51">
        <f>'Tribal CE grant'!D27+'Commerce Subaward Management'!D28</f>
        <v>0</v>
      </c>
      <c r="E26" s="51">
        <f>'Tribal CE grant'!E27+'Commerce Subaward Management'!E28</f>
        <v>0</v>
      </c>
      <c r="F26" s="51">
        <f>'Tribal CE grant'!F27+'Commerce Subaward Management'!F28</f>
        <v>0</v>
      </c>
      <c r="G26" s="51">
        <f>'Tribal CE grant'!G27+'Commerce Subaward Management'!G28</f>
        <v>0</v>
      </c>
      <c r="H26" s="51">
        <f>'Tribal CE grant'!H27+'Commerce Subaward Management'!H28</f>
        <v>0</v>
      </c>
      <c r="I26" s="196"/>
      <c r="J26" s="275">
        <f t="shared" si="3"/>
        <v>0</v>
      </c>
      <c r="K26" s="202">
        <f t="shared" si="4"/>
        <v>0</v>
      </c>
    </row>
    <row r="27" spans="2:13" ht="15" customHeight="1" x14ac:dyDescent="0.25">
      <c r="B27" s="17"/>
      <c r="C27" s="39" t="s">
        <v>52</v>
      </c>
      <c r="D27" s="51">
        <f>'Tribal CE grant'!D30+'Commerce Subaward Management'!D32</f>
        <v>28500</v>
      </c>
      <c r="E27" s="51">
        <f>'Tribal CE grant'!E30+'Commerce Subaward Management'!E32</f>
        <v>3000</v>
      </c>
      <c r="F27" s="51">
        <f>'Tribal CE grant'!F30+'Commerce Subaward Management'!F32</f>
        <v>120</v>
      </c>
      <c r="G27" s="51">
        <f>'Tribal CE grant'!G30+'Commerce Subaward Management'!G32</f>
        <v>120</v>
      </c>
      <c r="H27" s="51">
        <f>'Tribal CE grant'!H30+'Commerce Subaward Management'!H32</f>
        <v>120</v>
      </c>
      <c r="I27" s="196"/>
      <c r="J27" s="275">
        <f t="shared" si="3"/>
        <v>31860</v>
      </c>
      <c r="K27" s="202">
        <f t="shared" si="4"/>
        <v>3.8902905799007692E-4</v>
      </c>
    </row>
    <row r="28" spans="2:13" ht="15" customHeight="1" x14ac:dyDescent="0.25">
      <c r="B28" s="17"/>
      <c r="C28" s="39" t="s">
        <v>53</v>
      </c>
      <c r="D28" s="51">
        <f>'Tribal CE grant'!D37+'Commerce Subaward Management'!D37</f>
        <v>100000</v>
      </c>
      <c r="E28" s="51">
        <f>'Tribal CE grant'!E37+'Commerce Subaward Management'!E37</f>
        <v>100000</v>
      </c>
      <c r="F28" s="51">
        <f>'Tribal CE grant'!F37+'Commerce Subaward Management'!F37</f>
        <v>100000</v>
      </c>
      <c r="G28" s="51">
        <f>'Tribal CE grant'!G37+'Commerce Subaward Management'!G37</f>
        <v>100000</v>
      </c>
      <c r="H28" s="51">
        <f>'Tribal CE grant'!H37+'Commerce Subaward Management'!H37</f>
        <v>100000</v>
      </c>
      <c r="I28" s="196"/>
      <c r="J28" s="275">
        <f t="shared" si="3"/>
        <v>500000</v>
      </c>
      <c r="K28" s="202">
        <f t="shared" si="4"/>
        <v>6.1052896734161474E-3</v>
      </c>
    </row>
    <row r="29" spans="2:13" ht="15" customHeight="1" x14ac:dyDescent="0.25">
      <c r="B29" s="17"/>
      <c r="C29" s="39" t="s">
        <v>16</v>
      </c>
      <c r="D29" s="51">
        <f>'Tribal CE grant'!D42+'Commerce Subaward Management'!D50</f>
        <v>42905111.713855095</v>
      </c>
      <c r="E29" s="51">
        <f>'Tribal CE grant'!E42+'Commerce Subaward Management'!E50</f>
        <v>15146041.668288529</v>
      </c>
      <c r="F29" s="51">
        <f>'Tribal CE grant'!F42+'Commerce Subaward Management'!F50</f>
        <v>8329894.6535260612</v>
      </c>
      <c r="G29" s="51">
        <f>'Tribal CE grant'!G42+'Commerce Subaward Management'!G50</f>
        <v>5138861.2285211971</v>
      </c>
      <c r="H29" s="51">
        <f>'Tribal CE grant'!H42+'Commerce Subaward Management'!H50</f>
        <v>4512306.029571428</v>
      </c>
      <c r="I29" s="196"/>
      <c r="J29" s="275">
        <f t="shared" si="3"/>
        <v>76032215.293762311</v>
      </c>
      <c r="K29" s="202">
        <f t="shared" si="4"/>
        <v>0.92839739775992058</v>
      </c>
    </row>
    <row r="30" spans="2:13" ht="15" customHeight="1" x14ac:dyDescent="0.25">
      <c r="B30" s="18"/>
      <c r="C30" s="9" t="s">
        <v>17</v>
      </c>
      <c r="D30" s="100">
        <f>'Tribal CE grant'!D43+'Commerce Subaward Management'!D53</f>
        <v>43845768.905855097</v>
      </c>
      <c r="E30" s="100">
        <f>'Tribal CE grant'!E43+'Commerce Subaward Management'!E53</f>
        <v>16051871.99028853</v>
      </c>
      <c r="F30" s="100">
        <f>'Tribal CE grant'!F43+'Commerce Subaward Management'!F53</f>
        <v>9232844.9755260609</v>
      </c>
      <c r="G30" s="100">
        <f>'Tribal CE grant'!G43+'Commerce Subaward Management'!G53</f>
        <v>6041811.5505211977</v>
      </c>
      <c r="H30" s="100">
        <f>'Tribal CE grant'!H43+'Commerce Subaward Management'!H53</f>
        <v>5415256.3515714286</v>
      </c>
      <c r="I30" s="69"/>
      <c r="J30" s="229">
        <f>SUM(D30:H30)</f>
        <v>80587553.773762316</v>
      </c>
      <c r="K30" s="202">
        <f t="shared" si="4"/>
        <v>0.98402071972163907</v>
      </c>
      <c r="L30" s="276"/>
      <c r="M30" s="276"/>
    </row>
    <row r="31" spans="2:13" ht="15" customHeight="1" x14ac:dyDescent="0.25">
      <c r="B31" s="47"/>
      <c r="D31" s="198"/>
      <c r="E31" s="198"/>
      <c r="F31" s="198"/>
      <c r="G31" s="198"/>
      <c r="H31" s="198"/>
      <c r="I31" s="24"/>
      <c r="J31" s="272"/>
      <c r="K31" s="202"/>
    </row>
    <row r="32" spans="2:13" ht="15" customHeight="1" x14ac:dyDescent="0.25">
      <c r="B32" s="47"/>
      <c r="C32" s="9" t="s">
        <v>19</v>
      </c>
      <c r="D32" s="271">
        <f>'Tribal CE grant'!D48+'Commerce Subaward Management'!D58</f>
        <v>262172.33296800003</v>
      </c>
      <c r="E32" s="271">
        <f>'Tribal CE grant'!E48+'Commerce Subaward Management'!E58</f>
        <v>261617.48433800001</v>
      </c>
      <c r="F32" s="271">
        <f>'Tribal CE grant'!F48+'Commerce Subaward Management'!F58</f>
        <v>261617.48433800001</v>
      </c>
      <c r="G32" s="271">
        <f>'Tribal CE grant'!G48+'Commerce Subaward Management'!G58</f>
        <v>261617.48433800001</v>
      </c>
      <c r="H32" s="271">
        <f>'Tribal CE grant'!H48+'Commerce Subaward Management'!H58</f>
        <v>261617.48433800001</v>
      </c>
      <c r="J32" s="230">
        <f>SUM(D32:H32)</f>
        <v>1308642.2703199999</v>
      </c>
      <c r="K32" s="202">
        <f t="shared" ref="K32:K34" si="5">J32/$J$18</f>
        <v>1.5979280278361117E-2</v>
      </c>
    </row>
    <row r="33" spans="2:11" ht="15" customHeight="1" thickBot="1" x14ac:dyDescent="0.3">
      <c r="B33" s="47"/>
      <c r="D33"/>
      <c r="E33"/>
      <c r="H33"/>
      <c r="I33"/>
      <c r="J33" s="13" t="s">
        <v>18</v>
      </c>
      <c r="K33" s="13"/>
    </row>
    <row r="34" spans="2:11" ht="15" customHeight="1" thickBot="1" x14ac:dyDescent="0.3">
      <c r="B34" s="46" t="s">
        <v>20</v>
      </c>
      <c r="C34" s="14"/>
      <c r="D34" s="232">
        <f>D30+D32</f>
        <v>44107941.238823093</v>
      </c>
      <c r="E34" s="232">
        <f t="shared" ref="E34:H34" si="6">E30+E32</f>
        <v>16313489.47462653</v>
      </c>
      <c r="F34" s="232">
        <f t="shared" si="6"/>
        <v>9494462.4598640613</v>
      </c>
      <c r="G34" s="232">
        <f t="shared" si="6"/>
        <v>6303429.0348591981</v>
      </c>
      <c r="H34" s="232">
        <f t="shared" si="6"/>
        <v>5676873.835909429</v>
      </c>
      <c r="I34" s="41"/>
      <c r="J34" s="231">
        <f>J30+J32</f>
        <v>81896196.044082314</v>
      </c>
      <c r="K34" s="13"/>
    </row>
    <row r="35" spans="2:11" ht="15" customHeight="1" x14ac:dyDescent="0.25">
      <c r="C35" s="161"/>
      <c r="D35" s="162"/>
    </row>
    <row r="36" spans="2:11" ht="15" customHeight="1" x14ac:dyDescent="0.25">
      <c r="B36" s="6"/>
      <c r="D36" s="197"/>
      <c r="E36" s="197"/>
      <c r="F36" s="197"/>
      <c r="G36" s="197"/>
      <c r="H36" s="197"/>
      <c r="J36" s="24"/>
    </row>
    <row r="37" spans="2:11" ht="25.5" customHeight="1" x14ac:dyDescent="0.3">
      <c r="B37" s="34" t="s">
        <v>21</v>
      </c>
      <c r="C37" s="35"/>
      <c r="D37" s="35"/>
      <c r="E37" s="238"/>
      <c r="F37" s="238"/>
      <c r="H37" s="234" t="s">
        <v>153</v>
      </c>
      <c r="I37" s="235"/>
    </row>
    <row r="38" spans="2:11" ht="29.1" customHeight="1" x14ac:dyDescent="0.25">
      <c r="B38" s="36" t="s">
        <v>22</v>
      </c>
      <c r="C38" s="36" t="s">
        <v>23</v>
      </c>
      <c r="D38" s="42" t="s">
        <v>24</v>
      </c>
      <c r="E38" s="239" t="s">
        <v>25</v>
      </c>
      <c r="F38" s="239"/>
      <c r="H38" s="189" t="s">
        <v>154</v>
      </c>
      <c r="I38" s="158">
        <f>SUM(E42,E42,E39,E41,E40)</f>
        <v>0.6183191706577319</v>
      </c>
    </row>
    <row r="39" spans="2:11" ht="15" customHeight="1" x14ac:dyDescent="0.25">
      <c r="B39" s="39">
        <v>1</v>
      </c>
      <c r="C39" s="53" t="s">
        <v>61</v>
      </c>
      <c r="D39" s="52">
        <f>'Water Transportation'!J53</f>
        <v>9000000</v>
      </c>
      <c r="E39" s="237">
        <f>D39/D$48</f>
        <v>0.10989521412149063</v>
      </c>
      <c r="F39" s="237"/>
      <c r="H39" s="190" t="s">
        <v>155</v>
      </c>
      <c r="I39" s="158">
        <f>SUM(E43:F44)</f>
        <v>0.1879903422678541</v>
      </c>
    </row>
    <row r="40" spans="2:11" ht="15" customHeight="1" x14ac:dyDescent="0.25">
      <c r="B40" s="39">
        <v>2</v>
      </c>
      <c r="C40" s="53" t="s">
        <v>62</v>
      </c>
      <c r="D40" s="52">
        <f>'Rail Infrastructure'!J58</f>
        <v>12207200</v>
      </c>
      <c r="E40" s="237">
        <f>D40/D$48</f>
        <v>0.14905698420265115</v>
      </c>
      <c r="F40" s="237"/>
      <c r="H40" s="191" t="s">
        <v>156</v>
      </c>
      <c r="I40" s="158">
        <f>E46</f>
        <v>0.19458405555084979</v>
      </c>
    </row>
    <row r="41" spans="2:11" ht="15" customHeight="1" x14ac:dyDescent="0.25">
      <c r="B41" s="39">
        <v>3</v>
      </c>
      <c r="C41" s="51" t="s">
        <v>67</v>
      </c>
      <c r="D41" s="52">
        <f>'Vehicle-to-Grid Integration'!J51</f>
        <v>13587544</v>
      </c>
      <c r="E41" s="237">
        <f>D41/D$48</f>
        <v>0.16591178414057503</v>
      </c>
      <c r="F41" s="237"/>
      <c r="H41" s="192" t="s">
        <v>157</v>
      </c>
      <c r="I41" s="159">
        <f>E45</f>
        <v>3.1210240810503338E-2</v>
      </c>
    </row>
    <row r="42" spans="2:11" ht="15" customHeight="1" x14ac:dyDescent="0.25">
      <c r="B42" s="55">
        <v>4</v>
      </c>
      <c r="C42" s="56" t="s">
        <v>64</v>
      </c>
      <c r="D42" s="58">
        <f>'Tribal Fleets'!J53</f>
        <v>7921622.0090000005</v>
      </c>
      <c r="E42" s="237">
        <f>D42/D$48</f>
        <v>9.6727594096507538E-2</v>
      </c>
      <c r="F42" s="237"/>
      <c r="H42" s="157"/>
      <c r="I42" s="163"/>
    </row>
    <row r="43" spans="2:11" ht="15" customHeight="1" x14ac:dyDescent="0.25">
      <c r="B43" s="39">
        <v>5</v>
      </c>
      <c r="C43" s="57" t="s">
        <v>66</v>
      </c>
      <c r="D43" s="58">
        <f>'SCC energy district'!J59</f>
        <v>10533521.477162313</v>
      </c>
      <c r="E43" s="237">
        <f>D43/D$48</f>
        <v>0.12862039979845252</v>
      </c>
      <c r="F43" s="237"/>
      <c r="H43"/>
      <c r="I43"/>
    </row>
    <row r="44" spans="2:11" ht="15" customHeight="1" x14ac:dyDescent="0.25">
      <c r="B44" s="39">
        <v>6</v>
      </c>
      <c r="C44" s="57" t="s">
        <v>65</v>
      </c>
      <c r="D44" s="52">
        <f>'WWU energy district'!J62</f>
        <v>4862172.4476000005</v>
      </c>
      <c r="E44" s="237">
        <f>D44/D$48</f>
        <v>5.9369942469401582E-2</v>
      </c>
      <c r="F44" s="237"/>
      <c r="H44" s="174" t="s">
        <v>243</v>
      </c>
      <c r="I44" s="160">
        <f>E46+E42</f>
        <v>0.29131164964735734</v>
      </c>
    </row>
    <row r="45" spans="2:11" ht="15" customHeight="1" x14ac:dyDescent="0.25">
      <c r="B45" s="39">
        <v>7</v>
      </c>
      <c r="C45" s="57" t="s">
        <v>88</v>
      </c>
      <c r="D45" s="52">
        <f>AD!J62</f>
        <v>2556000</v>
      </c>
      <c r="E45" s="237">
        <f>D45/D$48</f>
        <v>3.1210240810503338E-2</v>
      </c>
      <c r="F45" s="237"/>
      <c r="G45" s="54"/>
      <c r="H45" s="54"/>
      <c r="I45"/>
    </row>
    <row r="46" spans="2:11" ht="15" customHeight="1" x14ac:dyDescent="0.25">
      <c r="B46" s="39">
        <v>8</v>
      </c>
      <c r="C46" s="57" t="s">
        <v>158</v>
      </c>
      <c r="D46" s="52">
        <f>'Tribal CE grant'!J50</f>
        <v>15935693.960444998</v>
      </c>
      <c r="E46" s="237">
        <f>D46/D$48</f>
        <v>0.19458405555084979</v>
      </c>
      <c r="F46" s="237"/>
      <c r="G46" s="54"/>
      <c r="H46" s="54"/>
      <c r="I46"/>
    </row>
    <row r="47" spans="2:11" ht="15" customHeight="1" x14ac:dyDescent="0.25">
      <c r="B47" s="60">
        <v>9</v>
      </c>
      <c r="C47" s="56" t="s">
        <v>63</v>
      </c>
      <c r="D47" s="58">
        <f>'Commerce Subaward Management'!J60</f>
        <v>5292442.1498750001</v>
      </c>
      <c r="E47" s="237">
        <f>D47/D$48</f>
        <v>6.4623784809568374E-2</v>
      </c>
      <c r="F47" s="237"/>
    </row>
    <row r="48" spans="2:11" ht="15" customHeight="1" x14ac:dyDescent="0.25">
      <c r="B48" s="39" t="s">
        <v>26</v>
      </c>
      <c r="C48" s="40"/>
      <c r="D48" s="52">
        <f>SUM(D39:D47)</f>
        <v>81896196.044082314</v>
      </c>
      <c r="E48" s="237">
        <f>D48/D$48</f>
        <v>1</v>
      </c>
      <c r="F48" s="237"/>
    </row>
  </sheetData>
  <mergeCells count="14">
    <mergeCell ref="H37:I37"/>
    <mergeCell ref="B3:J3"/>
    <mergeCell ref="E47:F47"/>
    <mergeCell ref="E48:F48"/>
    <mergeCell ref="E37:F37"/>
    <mergeCell ref="E38:F38"/>
    <mergeCell ref="E39:F39"/>
    <mergeCell ref="E41:F41"/>
    <mergeCell ref="E46:F46"/>
    <mergeCell ref="E42:F42"/>
    <mergeCell ref="E40:F40"/>
    <mergeCell ref="E44:F44"/>
    <mergeCell ref="E43:F43"/>
    <mergeCell ref="E45:F45"/>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68"/>
  <sheetViews>
    <sheetView showGridLines="0" topLeftCell="A22" zoomScale="85" zoomScaleNormal="85" workbookViewId="0">
      <selection activeCell="K7" sqref="K7"/>
    </sheetView>
  </sheetViews>
  <sheetFormatPr defaultColWidth="9.140625" defaultRowHeight="15" x14ac:dyDescent="0.25"/>
  <cols>
    <col min="1" max="1" width="3.140625" style="5" customWidth="1"/>
    <col min="2" max="2" width="10.140625" style="5" customWidth="1"/>
    <col min="3" max="3" width="35.42578125" style="5" customWidth="1"/>
    <col min="4" max="4" width="14.5703125" style="82" customWidth="1"/>
    <col min="5" max="5" width="12.5703125" style="83" customWidth="1"/>
    <col min="6" max="6" width="12.42578125" style="5" customWidth="1"/>
    <col min="7" max="7" width="13" style="5" customWidth="1"/>
    <col min="8" max="8" width="12.42578125" style="83" customWidth="1"/>
    <col min="9" max="9" width="1.7109375" style="84" customWidth="1"/>
    <col min="10" max="10" width="12.85546875" style="5" customWidth="1"/>
    <col min="11" max="11" width="84.28515625" style="5" customWidth="1"/>
    <col min="12" max="16384" width="9.140625" style="5"/>
  </cols>
  <sheetData>
    <row r="1" spans="1:11" x14ac:dyDescent="0.25">
      <c r="A1" s="69"/>
      <c r="B1" s="69"/>
      <c r="C1" s="69"/>
      <c r="D1" s="87"/>
      <c r="E1" s="88"/>
      <c r="F1" s="69"/>
      <c r="G1" s="69"/>
      <c r="H1" s="88"/>
      <c r="I1" s="69"/>
      <c r="J1" s="69"/>
      <c r="K1" s="69"/>
    </row>
    <row r="2" spans="1:11" ht="23.25" x14ac:dyDescent="0.35">
      <c r="A2" s="69"/>
      <c r="B2" s="89" t="s">
        <v>149</v>
      </c>
      <c r="C2" s="69"/>
      <c r="D2" s="87"/>
      <c r="E2" s="88"/>
      <c r="F2" s="69"/>
      <c r="G2" s="69"/>
      <c r="H2" s="88"/>
      <c r="I2" s="69"/>
      <c r="J2" s="69"/>
      <c r="K2" s="69"/>
    </row>
    <row r="3" spans="1:11" x14ac:dyDescent="0.25">
      <c r="A3" s="69"/>
      <c r="B3" s="69"/>
      <c r="C3" s="69"/>
      <c r="D3" s="87"/>
      <c r="E3" s="88"/>
      <c r="F3" s="69"/>
      <c r="G3" s="69"/>
      <c r="H3" s="88"/>
      <c r="I3" s="69"/>
      <c r="J3" s="69"/>
      <c r="K3" s="69"/>
    </row>
    <row r="4" spans="1:11" x14ac:dyDescent="0.25">
      <c r="A4" s="69"/>
      <c r="B4" s="69"/>
      <c r="C4" s="69"/>
      <c r="D4" s="87"/>
      <c r="E4" s="88"/>
      <c r="F4" s="69"/>
      <c r="G4" s="69"/>
      <c r="H4" s="88"/>
      <c r="I4" s="69"/>
      <c r="J4" s="69"/>
      <c r="K4" s="69"/>
    </row>
    <row r="5" spans="1:11" ht="18.75" x14ac:dyDescent="0.3">
      <c r="A5" s="69"/>
      <c r="B5" s="90" t="s">
        <v>0</v>
      </c>
      <c r="C5" s="91"/>
      <c r="D5" s="91"/>
      <c r="E5" s="91"/>
      <c r="F5" s="91"/>
      <c r="G5" s="91"/>
      <c r="H5" s="91"/>
      <c r="I5" s="91"/>
      <c r="J5" s="92"/>
      <c r="K5" s="69"/>
    </row>
    <row r="6" spans="1:11" ht="30" x14ac:dyDescent="0.25">
      <c r="A6" s="69"/>
      <c r="B6" s="93" t="s">
        <v>1</v>
      </c>
      <c r="C6" s="93" t="s">
        <v>2</v>
      </c>
      <c r="D6" s="93" t="s">
        <v>3</v>
      </c>
      <c r="E6" s="94" t="s">
        <v>4</v>
      </c>
      <c r="F6" s="94" t="s">
        <v>5</v>
      </c>
      <c r="G6" s="94" t="s">
        <v>6</v>
      </c>
      <c r="H6" s="95" t="s">
        <v>7</v>
      </c>
      <c r="I6" s="96"/>
      <c r="J6" s="97" t="s">
        <v>8</v>
      </c>
      <c r="K6" s="69"/>
    </row>
    <row r="7" spans="1:11" ht="30" x14ac:dyDescent="0.25">
      <c r="A7" s="69"/>
      <c r="B7" s="98" t="s">
        <v>9</v>
      </c>
      <c r="C7" s="67" t="s">
        <v>27</v>
      </c>
      <c r="D7" s="68" t="s">
        <v>28</v>
      </c>
      <c r="E7" s="68" t="s">
        <v>28</v>
      </c>
      <c r="F7" s="68" t="s">
        <v>28</v>
      </c>
      <c r="G7" s="68"/>
      <c r="H7" s="68" t="s">
        <v>28</v>
      </c>
      <c r="I7" s="69"/>
      <c r="J7" s="70" t="s">
        <v>28</v>
      </c>
      <c r="K7" s="69"/>
    </row>
    <row r="8" spans="1:11" x14ac:dyDescent="0.25">
      <c r="A8" s="69"/>
      <c r="B8" s="99"/>
      <c r="C8" s="74"/>
      <c r="D8" s="75"/>
      <c r="E8" s="75"/>
      <c r="F8" s="75"/>
      <c r="G8" s="75"/>
      <c r="H8" s="75"/>
      <c r="I8" s="73"/>
      <c r="J8" s="75">
        <f>SUM(D8:H8)</f>
        <v>0</v>
      </c>
      <c r="K8" s="69"/>
    </row>
    <row r="9" spans="1:11" x14ac:dyDescent="0.25">
      <c r="A9" s="69"/>
      <c r="B9" s="99"/>
      <c r="C9" s="74"/>
      <c r="D9" s="75"/>
      <c r="E9" s="75"/>
      <c r="F9" s="75"/>
      <c r="G9" s="75"/>
      <c r="H9" s="75"/>
      <c r="I9" s="69"/>
      <c r="J9" s="75">
        <f>SUM(D9:H9)</f>
        <v>0</v>
      </c>
      <c r="K9" s="69"/>
    </row>
    <row r="10" spans="1:11" x14ac:dyDescent="0.25">
      <c r="A10" s="69"/>
      <c r="B10" s="99"/>
      <c r="C10" s="74"/>
      <c r="D10" s="75"/>
      <c r="E10" s="75"/>
      <c r="F10" s="75"/>
      <c r="G10" s="75"/>
      <c r="H10" s="75"/>
      <c r="I10" s="69"/>
      <c r="J10" s="75">
        <f>SUM(D10:H10)</f>
        <v>0</v>
      </c>
      <c r="K10" s="69"/>
    </row>
    <row r="11" spans="1:11" x14ac:dyDescent="0.25">
      <c r="A11" s="69"/>
      <c r="B11" s="99"/>
      <c r="C11" s="76" t="s">
        <v>10</v>
      </c>
      <c r="D11" s="100">
        <f>SUM(D8:D10)</f>
        <v>0</v>
      </c>
      <c r="E11" s="100">
        <f>SUM(E8:E10)</f>
        <v>0</v>
      </c>
      <c r="F11" s="100">
        <f>SUM(F8:F10)</f>
        <v>0</v>
      </c>
      <c r="G11" s="100">
        <f>SUM(G8:G10)</f>
        <v>0</v>
      </c>
      <c r="H11" s="100">
        <f>SUM(H8:H10)</f>
        <v>0</v>
      </c>
      <c r="I11" s="69"/>
      <c r="J11" s="100">
        <f>SUM(J8:J10)</f>
        <v>0</v>
      </c>
      <c r="K11" s="69"/>
    </row>
    <row r="12" spans="1:11" x14ac:dyDescent="0.25">
      <c r="A12" s="69"/>
      <c r="B12" s="99"/>
      <c r="C12" s="77" t="s">
        <v>29</v>
      </c>
      <c r="D12" s="68" t="s">
        <v>28</v>
      </c>
      <c r="E12" s="68"/>
      <c r="F12" s="68"/>
      <c r="G12" s="68"/>
      <c r="H12" s="68"/>
      <c r="I12" s="69"/>
      <c r="J12" s="70" t="s">
        <v>28</v>
      </c>
      <c r="K12" s="69"/>
    </row>
    <row r="13" spans="1:11" x14ac:dyDescent="0.25">
      <c r="A13" s="69"/>
      <c r="B13" s="99"/>
      <c r="C13" s="74"/>
      <c r="D13" s="75"/>
      <c r="E13" s="75"/>
      <c r="F13" s="75"/>
      <c r="G13" s="75"/>
      <c r="H13" s="75"/>
      <c r="I13" s="69"/>
      <c r="J13" s="75">
        <f>SUM(D13:H13)</f>
        <v>0</v>
      </c>
      <c r="K13" s="69"/>
    </row>
    <row r="14" spans="1:11" x14ac:dyDescent="0.25">
      <c r="A14" s="69"/>
      <c r="B14" s="99"/>
      <c r="C14" s="74"/>
      <c r="D14" s="75"/>
      <c r="E14" s="75"/>
      <c r="F14" s="75"/>
      <c r="G14" s="75"/>
      <c r="H14" s="75"/>
      <c r="I14" s="69"/>
      <c r="J14" s="75">
        <f>SUM(D14:H14)</f>
        <v>0</v>
      </c>
      <c r="K14" s="69"/>
    </row>
    <row r="15" spans="1:11" x14ac:dyDescent="0.25">
      <c r="A15" s="69"/>
      <c r="B15" s="99"/>
      <c r="C15" s="68"/>
      <c r="D15" s="75"/>
      <c r="E15" s="75"/>
      <c r="F15" s="75"/>
      <c r="G15" s="75"/>
      <c r="H15" s="75"/>
      <c r="I15" s="69"/>
      <c r="J15" s="75">
        <f>SUM(D15:H15)</f>
        <v>0</v>
      </c>
      <c r="K15" s="69"/>
    </row>
    <row r="16" spans="1:11" x14ac:dyDescent="0.25">
      <c r="A16" s="69"/>
      <c r="B16" s="99"/>
      <c r="C16" s="76" t="s">
        <v>11</v>
      </c>
      <c r="D16" s="100">
        <f>SUM(D13:D15)</f>
        <v>0</v>
      </c>
      <c r="E16" s="100">
        <f>SUM(E13:E15)</f>
        <v>0</v>
      </c>
      <c r="F16" s="100">
        <f>SUM(F13:F15)</f>
        <v>0</v>
      </c>
      <c r="G16" s="100">
        <f>SUM(G13:G15)</f>
        <v>0</v>
      </c>
      <c r="H16" s="100">
        <f>SUM(H13:H15)</f>
        <v>0</v>
      </c>
      <c r="I16" s="69"/>
      <c r="J16" s="100">
        <f>SUM(J13:J15)</f>
        <v>0</v>
      </c>
      <c r="K16" s="69"/>
    </row>
    <row r="17" spans="1:11" x14ac:dyDescent="0.25">
      <c r="A17" s="69"/>
      <c r="B17" s="99"/>
      <c r="C17" s="77" t="s">
        <v>30</v>
      </c>
      <c r="D17" s="68" t="s">
        <v>28</v>
      </c>
      <c r="E17" s="68"/>
      <c r="F17" s="68"/>
      <c r="G17" s="68"/>
      <c r="H17" s="68"/>
      <c r="I17" s="69"/>
      <c r="J17" s="70" t="s">
        <v>28</v>
      </c>
      <c r="K17" s="69"/>
    </row>
    <row r="18" spans="1:11" x14ac:dyDescent="0.25">
      <c r="A18" s="69"/>
      <c r="B18" s="99"/>
      <c r="C18" s="101"/>
      <c r="D18" s="75"/>
      <c r="E18" s="75"/>
      <c r="F18" s="75"/>
      <c r="G18" s="75"/>
      <c r="H18" s="75"/>
      <c r="I18" s="69"/>
      <c r="J18" s="75">
        <f t="shared" ref="J18:J25" si="0">SUM(D18:H18)</f>
        <v>0</v>
      </c>
      <c r="K18" s="69"/>
    </row>
    <row r="19" spans="1:11" x14ac:dyDescent="0.25">
      <c r="A19" s="69"/>
      <c r="B19" s="99"/>
      <c r="C19" s="101"/>
      <c r="D19" s="75"/>
      <c r="E19" s="75"/>
      <c r="F19" s="75"/>
      <c r="G19" s="75"/>
      <c r="H19" s="75"/>
      <c r="I19" s="73"/>
      <c r="J19" s="75">
        <f t="shared" si="0"/>
        <v>0</v>
      </c>
      <c r="K19" s="69"/>
    </row>
    <row r="20" spans="1:11" x14ac:dyDescent="0.25">
      <c r="A20" s="69"/>
      <c r="B20" s="99"/>
      <c r="C20" s="101"/>
      <c r="D20" s="75"/>
      <c r="E20" s="75"/>
      <c r="F20" s="75"/>
      <c r="G20" s="75"/>
      <c r="H20" s="75"/>
      <c r="I20" s="73"/>
      <c r="J20" s="75">
        <f t="shared" si="0"/>
        <v>0</v>
      </c>
      <c r="K20" s="69"/>
    </row>
    <row r="21" spans="1:11" x14ac:dyDescent="0.25">
      <c r="A21" s="69"/>
      <c r="B21" s="99"/>
      <c r="C21" s="74"/>
      <c r="D21" s="75"/>
      <c r="E21" s="75"/>
      <c r="F21" s="75"/>
      <c r="G21" s="75"/>
      <c r="H21" s="75"/>
      <c r="I21" s="73"/>
      <c r="J21" s="75">
        <f t="shared" si="0"/>
        <v>0</v>
      </c>
      <c r="K21" s="69"/>
    </row>
    <row r="22" spans="1:11" x14ac:dyDescent="0.25">
      <c r="A22" s="69"/>
      <c r="B22" s="99"/>
      <c r="C22" s="101"/>
      <c r="D22" s="75"/>
      <c r="E22" s="75"/>
      <c r="F22" s="75"/>
      <c r="G22" s="75"/>
      <c r="H22" s="75"/>
      <c r="I22" s="73"/>
      <c r="J22" s="75">
        <f t="shared" si="0"/>
        <v>0</v>
      </c>
      <c r="K22" s="69"/>
    </row>
    <row r="23" spans="1:11" x14ac:dyDescent="0.25">
      <c r="A23" s="69"/>
      <c r="B23" s="99"/>
      <c r="C23" s="101"/>
      <c r="D23" s="75"/>
      <c r="E23" s="75"/>
      <c r="F23" s="75"/>
      <c r="G23" s="75"/>
      <c r="H23" s="75"/>
      <c r="I23" s="73"/>
      <c r="J23" s="75">
        <f t="shared" si="0"/>
        <v>0</v>
      </c>
      <c r="K23" s="69"/>
    </row>
    <row r="24" spans="1:11" x14ac:dyDescent="0.25">
      <c r="A24" s="69"/>
      <c r="B24" s="99"/>
      <c r="C24" s="101"/>
      <c r="D24" s="75"/>
      <c r="E24" s="75"/>
      <c r="F24" s="75"/>
      <c r="G24" s="75"/>
      <c r="H24" s="75"/>
      <c r="I24" s="73"/>
      <c r="J24" s="75">
        <f t="shared" si="0"/>
        <v>0</v>
      </c>
      <c r="K24" s="69"/>
    </row>
    <row r="25" spans="1:11" x14ac:dyDescent="0.25">
      <c r="A25" s="69"/>
      <c r="B25" s="99"/>
      <c r="C25" s="74"/>
      <c r="D25" s="75"/>
      <c r="E25" s="75"/>
      <c r="F25" s="75"/>
      <c r="G25" s="75"/>
      <c r="H25" s="75"/>
      <c r="I25" s="73"/>
      <c r="J25" s="75">
        <f t="shared" si="0"/>
        <v>0</v>
      </c>
      <c r="K25" s="69"/>
    </row>
    <row r="26" spans="1:11" x14ac:dyDescent="0.25">
      <c r="A26" s="69"/>
      <c r="B26" s="99"/>
      <c r="C26" s="76" t="s">
        <v>12</v>
      </c>
      <c r="D26" s="100">
        <f>SUM(D19:D25)</f>
        <v>0</v>
      </c>
      <c r="E26" s="100">
        <f>SUM(E19:E25)</f>
        <v>0</v>
      </c>
      <c r="F26" s="100">
        <f>SUM(F19:F25)</f>
        <v>0</v>
      </c>
      <c r="G26" s="100">
        <f>SUM(G19:G25)</f>
        <v>0</v>
      </c>
      <c r="H26" s="100">
        <f>SUM(H19:H25)</f>
        <v>0</v>
      </c>
      <c r="I26" s="69"/>
      <c r="J26" s="100">
        <f>SUM(J18:J25)</f>
        <v>0</v>
      </c>
      <c r="K26" s="69"/>
    </row>
    <row r="27" spans="1:11" x14ac:dyDescent="0.25">
      <c r="A27" s="69"/>
      <c r="B27" s="99"/>
      <c r="C27" s="77" t="s">
        <v>31</v>
      </c>
      <c r="D27" s="75"/>
      <c r="E27" s="68"/>
      <c r="F27" s="68"/>
      <c r="G27" s="68"/>
      <c r="H27" s="68"/>
      <c r="I27" s="69"/>
      <c r="J27" s="75" t="s">
        <v>18</v>
      </c>
      <c r="K27" s="69"/>
    </row>
    <row r="28" spans="1:11" x14ac:dyDescent="0.25">
      <c r="A28" s="69"/>
      <c r="B28" s="99"/>
      <c r="C28" s="64" t="s">
        <v>59</v>
      </c>
      <c r="D28" s="56">
        <v>1000000</v>
      </c>
      <c r="E28" s="68"/>
      <c r="F28" s="68"/>
      <c r="G28" s="68"/>
      <c r="H28" s="68"/>
      <c r="I28" s="69"/>
      <c r="J28" s="75">
        <f>SUM(D28:H28)</f>
        <v>1000000</v>
      </c>
      <c r="K28" s="69"/>
    </row>
    <row r="29" spans="1:11" x14ac:dyDescent="0.25">
      <c r="A29" s="69"/>
      <c r="B29" s="99" t="s">
        <v>32</v>
      </c>
      <c r="C29" s="64" t="s">
        <v>58</v>
      </c>
      <c r="D29" s="102">
        <v>1000000</v>
      </c>
      <c r="E29" s="68"/>
      <c r="F29" s="68"/>
      <c r="G29" s="68"/>
      <c r="H29" s="68"/>
      <c r="I29" s="69"/>
      <c r="J29" s="75">
        <f>SUM(D29:H29)</f>
        <v>1000000</v>
      </c>
      <c r="K29" s="69"/>
    </row>
    <row r="30" spans="1:11" x14ac:dyDescent="0.25">
      <c r="A30" s="69"/>
      <c r="B30" s="99"/>
      <c r="C30" s="76" t="s">
        <v>13</v>
      </c>
      <c r="D30" s="103">
        <f>SUM(D28:D29)</f>
        <v>2000000</v>
      </c>
      <c r="E30" s="103">
        <f>SUM(E28:E29)</f>
        <v>0</v>
      </c>
      <c r="F30" s="103">
        <f>SUM(F28:F29)</f>
        <v>0</v>
      </c>
      <c r="G30" s="103">
        <f>SUM(G28:G29)</f>
        <v>0</v>
      </c>
      <c r="H30" s="103">
        <f>SUM(H28:H29)</f>
        <v>0</v>
      </c>
      <c r="I30" s="69"/>
      <c r="J30" s="100">
        <f>SUM(J28:J29)</f>
        <v>2000000</v>
      </c>
      <c r="K30" s="69"/>
    </row>
    <row r="31" spans="1:11" x14ac:dyDescent="0.25">
      <c r="A31" s="69"/>
      <c r="B31" s="99"/>
      <c r="C31" s="77" t="s">
        <v>33</v>
      </c>
      <c r="D31" s="68" t="s">
        <v>28</v>
      </c>
      <c r="E31" s="68"/>
      <c r="F31" s="68"/>
      <c r="G31" s="68"/>
      <c r="H31" s="68"/>
      <c r="I31" s="69"/>
      <c r="J31" s="75"/>
      <c r="K31" s="69"/>
    </row>
    <row r="32" spans="1:11" x14ac:dyDescent="0.25">
      <c r="A32" s="69"/>
      <c r="B32" s="99"/>
      <c r="C32" s="74"/>
      <c r="D32" s="75"/>
      <c r="E32" s="75"/>
      <c r="F32" s="75"/>
      <c r="G32" s="75"/>
      <c r="H32" s="75"/>
      <c r="I32" s="73"/>
      <c r="J32" s="75">
        <f>SUM(D32:H32)</f>
        <v>0</v>
      </c>
      <c r="K32" s="69"/>
    </row>
    <row r="33" spans="1:11" x14ac:dyDescent="0.25">
      <c r="A33" s="69"/>
      <c r="B33" s="99"/>
      <c r="C33" s="74"/>
      <c r="D33" s="75"/>
      <c r="E33" s="75"/>
      <c r="F33" s="75"/>
      <c r="G33" s="75"/>
      <c r="H33" s="75"/>
      <c r="I33" s="69"/>
      <c r="J33" s="75">
        <f>SUM(D33:H33)</f>
        <v>0</v>
      </c>
      <c r="K33" s="69"/>
    </row>
    <row r="34" spans="1:11" x14ac:dyDescent="0.25">
      <c r="A34" s="69"/>
      <c r="B34" s="99"/>
      <c r="C34" s="76" t="s">
        <v>14</v>
      </c>
      <c r="D34" s="100">
        <f>SUM(D32:D33)</f>
        <v>0</v>
      </c>
      <c r="E34" s="100">
        <f>SUM(E32:E33)</f>
        <v>0</v>
      </c>
      <c r="F34" s="100">
        <f>SUM(F32:F33)</f>
        <v>0</v>
      </c>
      <c r="G34" s="100">
        <f>SUM(G32:G33)</f>
        <v>0</v>
      </c>
      <c r="H34" s="100">
        <f>SUM(H32:H33)</f>
        <v>0</v>
      </c>
      <c r="I34" s="69"/>
      <c r="J34" s="100">
        <f>SUM(J32:J33)</f>
        <v>0</v>
      </c>
      <c r="K34" s="69"/>
    </row>
    <row r="35" spans="1:11" x14ac:dyDescent="0.25">
      <c r="A35" s="69"/>
      <c r="B35" s="99"/>
      <c r="C35" s="77" t="s">
        <v>34</v>
      </c>
      <c r="D35" s="68" t="s">
        <v>28</v>
      </c>
      <c r="E35" s="68"/>
      <c r="F35" s="68"/>
      <c r="G35" s="68"/>
      <c r="H35" s="68"/>
      <c r="I35" s="69"/>
      <c r="J35" s="75"/>
      <c r="K35" s="69"/>
    </row>
    <row r="36" spans="1:11" x14ac:dyDescent="0.25">
      <c r="A36" s="69"/>
      <c r="B36" s="99"/>
      <c r="C36" s="74"/>
      <c r="D36" s="75"/>
      <c r="E36" s="75"/>
      <c r="F36" s="75"/>
      <c r="G36" s="75"/>
      <c r="H36" s="75"/>
      <c r="I36" s="73"/>
      <c r="J36" s="75">
        <f>SUM(D36:H36)</f>
        <v>0</v>
      </c>
      <c r="K36" s="69"/>
    </row>
    <row r="37" spans="1:11" x14ac:dyDescent="0.25">
      <c r="A37" s="69"/>
      <c r="B37" s="99"/>
      <c r="C37" s="74"/>
      <c r="D37" s="75"/>
      <c r="E37" s="75"/>
      <c r="F37" s="75"/>
      <c r="G37" s="75"/>
      <c r="H37" s="75"/>
      <c r="I37" s="73"/>
      <c r="J37" s="75">
        <f>SUM(D37:H37)</f>
        <v>0</v>
      </c>
      <c r="K37" s="69"/>
    </row>
    <row r="38" spans="1:11" x14ac:dyDescent="0.25">
      <c r="A38" s="69"/>
      <c r="B38" s="99"/>
      <c r="C38" s="74"/>
      <c r="D38" s="75"/>
      <c r="E38" s="75"/>
      <c r="F38" s="75"/>
      <c r="G38" s="75"/>
      <c r="H38" s="75"/>
      <c r="I38" s="73"/>
      <c r="J38" s="75">
        <f>SUM(D38:H38)</f>
        <v>0</v>
      </c>
      <c r="K38" s="69"/>
    </row>
    <row r="39" spans="1:11" x14ac:dyDescent="0.25">
      <c r="A39" s="69"/>
      <c r="B39" s="99"/>
      <c r="C39" s="74"/>
      <c r="D39" s="75"/>
      <c r="E39" s="75"/>
      <c r="F39" s="75"/>
      <c r="G39" s="75"/>
      <c r="H39" s="75"/>
      <c r="I39" s="69"/>
      <c r="J39" s="75">
        <f>SUM(D39:H39)</f>
        <v>0</v>
      </c>
      <c r="K39" s="69"/>
    </row>
    <row r="40" spans="1:11" x14ac:dyDescent="0.25">
      <c r="A40" s="69"/>
      <c r="B40" s="99"/>
      <c r="C40" s="76" t="s">
        <v>15</v>
      </c>
      <c r="D40" s="100">
        <f>SUM(D36:D39)</f>
        <v>0</v>
      </c>
      <c r="E40" s="100">
        <f>SUM(E36:E39)</f>
        <v>0</v>
      </c>
      <c r="F40" s="100">
        <f>SUM(F36:F39)</f>
        <v>0</v>
      </c>
      <c r="G40" s="100">
        <f>SUM(G36:G39)</f>
        <v>0</v>
      </c>
      <c r="H40" s="100">
        <f>SUM(H36:H39)</f>
        <v>0</v>
      </c>
      <c r="I40" s="69"/>
      <c r="J40" s="100">
        <f>SUM(J36:J39)</f>
        <v>0</v>
      </c>
      <c r="K40" s="69"/>
    </row>
    <row r="41" spans="1:11" x14ac:dyDescent="0.25">
      <c r="A41" s="69"/>
      <c r="B41" s="99"/>
      <c r="C41" s="77" t="s">
        <v>35</v>
      </c>
      <c r="D41" s="68" t="s">
        <v>28</v>
      </c>
      <c r="E41" s="68"/>
      <c r="F41" s="68"/>
      <c r="G41" s="68"/>
      <c r="H41" s="68"/>
      <c r="I41" s="69"/>
      <c r="J41" s="75"/>
      <c r="K41" s="69"/>
    </row>
    <row r="42" spans="1:11" ht="30" x14ac:dyDescent="0.25">
      <c r="A42" s="69"/>
      <c r="B42" s="99"/>
      <c r="C42" s="86" t="s">
        <v>199</v>
      </c>
      <c r="D42" s="75">
        <v>1400000</v>
      </c>
      <c r="E42" s="75">
        <v>1400000</v>
      </c>
      <c r="F42" s="75">
        <v>1400000</v>
      </c>
      <c r="G42" s="75">
        <v>1400000</v>
      </c>
      <c r="H42" s="75">
        <v>1400000</v>
      </c>
      <c r="I42" s="69"/>
      <c r="J42" s="75">
        <f>SUM(D42:H42)</f>
        <v>7000000</v>
      </c>
      <c r="K42" s="104"/>
    </row>
    <row r="43" spans="1:11" x14ac:dyDescent="0.25">
      <c r="A43" s="69"/>
      <c r="B43" s="99"/>
      <c r="C43" s="74"/>
      <c r="D43" s="75"/>
      <c r="E43" s="75"/>
      <c r="F43" s="75"/>
      <c r="G43" s="75"/>
      <c r="H43" s="75"/>
      <c r="I43" s="69"/>
      <c r="J43" s="75">
        <f>SUM(D43:H43)</f>
        <v>0</v>
      </c>
      <c r="K43" s="104"/>
    </row>
    <row r="44" spans="1:11" x14ac:dyDescent="0.25">
      <c r="A44" s="69"/>
      <c r="B44" s="99"/>
      <c r="C44" s="68"/>
      <c r="D44" s="75"/>
      <c r="E44" s="75"/>
      <c r="F44" s="75"/>
      <c r="G44" s="75"/>
      <c r="H44" s="75"/>
      <c r="I44" s="69"/>
      <c r="J44" s="75">
        <f>SUM(D44:H44)</f>
        <v>0</v>
      </c>
      <c r="K44" s="69"/>
    </row>
    <row r="45" spans="1:11" x14ac:dyDescent="0.25">
      <c r="A45" s="69"/>
      <c r="B45" s="105"/>
      <c r="C45" s="76" t="s">
        <v>16</v>
      </c>
      <c r="D45" s="100">
        <f>SUM(D42:D44)</f>
        <v>1400000</v>
      </c>
      <c r="E45" s="100">
        <f>SUM(E42:E44)</f>
        <v>1400000</v>
      </c>
      <c r="F45" s="100">
        <f>SUM(F42:F44)</f>
        <v>1400000</v>
      </c>
      <c r="G45" s="100">
        <f>SUM(G42:G44)</f>
        <v>1400000</v>
      </c>
      <c r="H45" s="100">
        <f>SUM(H42:H44)</f>
        <v>1400000</v>
      </c>
      <c r="I45" s="69"/>
      <c r="J45" s="100">
        <f>SUM(D45:H45)</f>
        <v>7000000</v>
      </c>
      <c r="K45" s="69"/>
    </row>
    <row r="46" spans="1:11" x14ac:dyDescent="0.25">
      <c r="A46" s="69"/>
      <c r="B46" s="105"/>
      <c r="C46" s="76" t="s">
        <v>17</v>
      </c>
      <c r="D46" s="100">
        <f>SUM(D45,D40,D34,D30,D26,D16,D11)</f>
        <v>3400000</v>
      </c>
      <c r="E46" s="100">
        <f>SUM(E45,E40,E34,E30,E26,E16,E11)</f>
        <v>1400000</v>
      </c>
      <c r="F46" s="100">
        <f>SUM(F45,F40,F34,F30,F26,F16,F11)</f>
        <v>1400000</v>
      </c>
      <c r="G46" s="100">
        <f>SUM(G45,G40,G34,G30,G26,G16,G11)</f>
        <v>1400000</v>
      </c>
      <c r="H46" s="100">
        <f>SUM(H45,H40,H34,H30,H26,H16,H11)</f>
        <v>1400000</v>
      </c>
      <c r="I46" s="69"/>
      <c r="J46" s="100">
        <f>SUM(D46:H46)</f>
        <v>9000000</v>
      </c>
      <c r="K46" s="69"/>
    </row>
    <row r="47" spans="1:11" x14ac:dyDescent="0.25">
      <c r="A47" s="69"/>
      <c r="B47" s="87"/>
      <c r="C47" s="69"/>
      <c r="D47" s="69"/>
      <c r="E47" s="69"/>
      <c r="F47" s="69"/>
      <c r="G47" s="69"/>
      <c r="H47" s="69"/>
      <c r="I47" s="69"/>
      <c r="J47" s="69" t="s">
        <v>18</v>
      </c>
      <c r="K47" s="69"/>
    </row>
    <row r="48" spans="1:11" ht="30" x14ac:dyDescent="0.25">
      <c r="A48" s="69"/>
      <c r="B48" s="98" t="s">
        <v>36</v>
      </c>
      <c r="C48" s="78" t="s">
        <v>36</v>
      </c>
      <c r="D48" s="70"/>
      <c r="E48" s="70"/>
      <c r="F48" s="70"/>
      <c r="G48" s="70"/>
      <c r="H48" s="70"/>
      <c r="I48" s="69"/>
      <c r="J48" s="70" t="s">
        <v>18</v>
      </c>
      <c r="K48" s="69"/>
    </row>
    <row r="49" spans="1:11" x14ac:dyDescent="0.25">
      <c r="A49" s="69"/>
      <c r="B49" s="99"/>
      <c r="C49" s="64"/>
      <c r="D49" s="106"/>
      <c r="E49" s="106"/>
      <c r="F49" s="106"/>
      <c r="G49" s="106"/>
      <c r="H49" s="106"/>
      <c r="I49" s="69"/>
      <c r="J49" s="75">
        <f>SUM(D49:H49)</f>
        <v>0</v>
      </c>
      <c r="K49" s="104"/>
    </row>
    <row r="50" spans="1:11" x14ac:dyDescent="0.25">
      <c r="A50" s="69"/>
      <c r="B50" s="99"/>
      <c r="C50" s="74"/>
      <c r="D50" s="68"/>
      <c r="E50" s="68"/>
      <c r="F50" s="68"/>
      <c r="G50" s="68"/>
      <c r="H50" s="68"/>
      <c r="I50" s="69"/>
      <c r="J50" s="75">
        <f>SUM(D50:H50)</f>
        <v>0</v>
      </c>
      <c r="K50" s="69"/>
    </row>
    <row r="51" spans="1:11" x14ac:dyDescent="0.25">
      <c r="A51" s="69"/>
      <c r="B51" s="105"/>
      <c r="C51" s="76" t="s">
        <v>19</v>
      </c>
      <c r="D51" s="100">
        <f>SUM(D49:D50)</f>
        <v>0</v>
      </c>
      <c r="E51" s="100">
        <f>SUM(E49:E50)</f>
        <v>0</v>
      </c>
      <c r="F51" s="100">
        <f>SUM(F49:F50)</f>
        <v>0</v>
      </c>
      <c r="G51" s="100">
        <f>SUM(G49:G50)</f>
        <v>0</v>
      </c>
      <c r="H51" s="100">
        <f>SUM(H49:H50)</f>
        <v>0</v>
      </c>
      <c r="I51" s="69"/>
      <c r="J51" s="100">
        <f>SUM(J49:J50)</f>
        <v>0</v>
      </c>
      <c r="K51" s="69"/>
    </row>
    <row r="52" spans="1:11" ht="15.75" thickBot="1" x14ac:dyDescent="0.3">
      <c r="A52" s="69"/>
      <c r="B52" s="87"/>
      <c r="C52" s="69"/>
      <c r="D52" s="69"/>
      <c r="E52" s="69"/>
      <c r="F52" s="69"/>
      <c r="G52" s="69"/>
      <c r="H52" s="69"/>
      <c r="I52" s="69"/>
      <c r="J52" s="69" t="s">
        <v>18</v>
      </c>
      <c r="K52" s="69"/>
    </row>
    <row r="53" spans="1:11" s="85" customFormat="1" ht="30.75" thickBot="1" x14ac:dyDescent="0.3">
      <c r="A53" s="107"/>
      <c r="B53" s="79" t="s">
        <v>20</v>
      </c>
      <c r="C53" s="79"/>
      <c r="D53" s="108">
        <f>SUM(D51,D46)</f>
        <v>3400000</v>
      </c>
      <c r="E53" s="108">
        <f>SUM(E51,E46)</f>
        <v>1400000</v>
      </c>
      <c r="F53" s="108">
        <f>SUM(F51,F46)</f>
        <v>1400000</v>
      </c>
      <c r="G53" s="108">
        <f>SUM(G51,G46)</f>
        <v>1400000</v>
      </c>
      <c r="H53" s="108">
        <f>SUM(H51,H46)</f>
        <v>1400000</v>
      </c>
      <c r="I53" s="69"/>
      <c r="J53" s="108">
        <f>SUM(J51,J46)</f>
        <v>9000000</v>
      </c>
      <c r="K53" s="107"/>
    </row>
    <row r="54" spans="1:11" x14ac:dyDescent="0.25">
      <c r="A54" s="69"/>
      <c r="B54" s="87"/>
      <c r="C54" s="69"/>
      <c r="D54" s="87"/>
      <c r="E54" s="88"/>
      <c r="F54" s="69"/>
      <c r="G54" s="69"/>
      <c r="H54" s="88"/>
      <c r="I54" s="69"/>
      <c r="J54" s="69"/>
      <c r="K54" s="69"/>
    </row>
    <row r="55" spans="1:11" x14ac:dyDescent="0.25">
      <c r="B55" s="82"/>
    </row>
    <row r="56" spans="1:11" x14ac:dyDescent="0.25">
      <c r="B56" s="82"/>
    </row>
    <row r="57" spans="1:11" x14ac:dyDescent="0.25">
      <c r="B57" s="82"/>
    </row>
    <row r="58" spans="1:11" x14ac:dyDescent="0.25">
      <c r="B58" s="82"/>
    </row>
    <row r="59" spans="1:11" x14ac:dyDescent="0.25">
      <c r="B59" s="82"/>
    </row>
    <row r="60" spans="1:11" x14ac:dyDescent="0.25">
      <c r="B60" s="82"/>
    </row>
    <row r="61" spans="1:11" x14ac:dyDescent="0.25">
      <c r="B61" s="82"/>
    </row>
    <row r="62" spans="1:11" x14ac:dyDescent="0.25">
      <c r="B62" s="82"/>
    </row>
    <row r="63" spans="1:11" x14ac:dyDescent="0.25">
      <c r="B63" s="82"/>
    </row>
    <row r="64" spans="1:11" x14ac:dyDescent="0.25">
      <c r="B64" s="82"/>
    </row>
    <row r="65" spans="2:2" x14ac:dyDescent="0.25">
      <c r="B65" s="82"/>
    </row>
    <row r="66" spans="2:2" x14ac:dyDescent="0.25">
      <c r="B66" s="82"/>
    </row>
    <row r="67" spans="2:2" x14ac:dyDescent="0.25">
      <c r="B67" s="82"/>
    </row>
    <row r="68" spans="2:2" x14ac:dyDescent="0.25">
      <c r="B68" s="82"/>
    </row>
  </sheetData>
  <pageMargins left="0.7" right="0.7" top="0.75" bottom="0.75" header="0.3" footer="0.3"/>
  <pageSetup scale="9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1:AM73"/>
  <sheetViews>
    <sheetView showGridLines="0" topLeftCell="A46" zoomScale="85" zoomScaleNormal="85" workbookViewId="0">
      <selection activeCell="J59" sqref="J59"/>
    </sheetView>
  </sheetViews>
  <sheetFormatPr defaultColWidth="9.140625" defaultRowHeight="15" x14ac:dyDescent="0.25"/>
  <cols>
    <col min="1" max="1" width="3.140625" customWidth="1"/>
    <col min="2" max="2" width="10.140625" customWidth="1"/>
    <col min="3" max="3" width="32.140625" style="133" bestFit="1" customWidth="1"/>
    <col min="4" max="4" width="38.28515625" style="6" customWidth="1"/>
    <col min="5" max="5" width="12.5703125" style="2" customWidth="1"/>
    <col min="6" max="6" width="12.42578125" customWidth="1"/>
    <col min="7" max="7" width="13" customWidth="1"/>
    <col min="8" max="8" width="12.42578125" style="2" customWidth="1"/>
    <col min="9" max="9" width="1.7109375" style="7" customWidth="1"/>
    <col min="10" max="10" width="15.5703125" customWidth="1"/>
    <col min="11" max="11" width="44.42578125" style="140" customWidth="1"/>
  </cols>
  <sheetData>
    <row r="1" spans="2:39" x14ac:dyDescent="0.25">
      <c r="K1" s="133"/>
    </row>
    <row r="2" spans="2:39" ht="23.25" x14ac:dyDescent="0.35">
      <c r="B2" s="20" t="s">
        <v>148</v>
      </c>
      <c r="K2" s="133"/>
    </row>
    <row r="3" spans="2:39" x14ac:dyDescent="0.25">
      <c r="B3" s="5"/>
      <c r="K3" s="133"/>
    </row>
    <row r="4" spans="2:39" x14ac:dyDescent="0.25">
      <c r="B4" s="5"/>
      <c r="K4" s="133"/>
    </row>
    <row r="5" spans="2:39" ht="18.75" x14ac:dyDescent="0.3">
      <c r="B5" s="26" t="s">
        <v>0</v>
      </c>
      <c r="C5" s="134"/>
      <c r="D5" s="27"/>
      <c r="E5" s="27"/>
      <c r="F5" s="27"/>
      <c r="G5" s="27"/>
      <c r="H5" s="27"/>
      <c r="I5" s="27"/>
      <c r="J5" s="28"/>
      <c r="K5" s="133"/>
    </row>
    <row r="6" spans="2:39" ht="30" x14ac:dyDescent="0.25">
      <c r="B6" s="29" t="s">
        <v>1</v>
      </c>
      <c r="C6" s="135" t="s">
        <v>2</v>
      </c>
      <c r="D6" s="29" t="s">
        <v>3</v>
      </c>
      <c r="E6" s="30" t="s">
        <v>4</v>
      </c>
      <c r="F6" s="30" t="s">
        <v>5</v>
      </c>
      <c r="G6" s="30" t="s">
        <v>6</v>
      </c>
      <c r="H6" s="31" t="s">
        <v>7</v>
      </c>
      <c r="I6" s="32"/>
      <c r="J6" s="33" t="s">
        <v>8</v>
      </c>
      <c r="K6" s="133"/>
    </row>
    <row r="7" spans="2:39" s="5" customFormat="1" ht="30" x14ac:dyDescent="0.25">
      <c r="B7" s="50" t="s">
        <v>9</v>
      </c>
      <c r="C7" s="116" t="s">
        <v>27</v>
      </c>
      <c r="D7" s="68" t="s">
        <v>28</v>
      </c>
      <c r="E7" s="68" t="s">
        <v>28</v>
      </c>
      <c r="F7" s="68" t="s">
        <v>28</v>
      </c>
      <c r="G7" s="68"/>
      <c r="H7" s="68" t="s">
        <v>28</v>
      </c>
      <c r="I7" s="69"/>
      <c r="J7" s="70" t="s">
        <v>28</v>
      </c>
      <c r="K7" s="133"/>
      <c r="L7"/>
      <c r="M7"/>
      <c r="N7"/>
      <c r="O7"/>
      <c r="P7"/>
      <c r="Q7"/>
      <c r="R7"/>
      <c r="S7"/>
      <c r="T7"/>
      <c r="U7"/>
      <c r="V7"/>
      <c r="W7"/>
      <c r="X7"/>
      <c r="Y7"/>
      <c r="Z7"/>
      <c r="AA7"/>
      <c r="AB7"/>
      <c r="AC7"/>
      <c r="AD7"/>
      <c r="AE7"/>
      <c r="AF7"/>
      <c r="AG7"/>
      <c r="AH7"/>
      <c r="AI7"/>
      <c r="AJ7"/>
      <c r="AK7"/>
      <c r="AL7"/>
      <c r="AM7"/>
    </row>
    <row r="8" spans="2:39" x14ac:dyDescent="0.25">
      <c r="B8" s="17"/>
      <c r="C8" s="136"/>
      <c r="D8" s="75"/>
      <c r="E8" s="75"/>
      <c r="F8" s="75"/>
      <c r="G8" s="75"/>
      <c r="H8" s="75"/>
      <c r="I8" s="73"/>
      <c r="J8" s="75">
        <f>SUM(D8:H8)</f>
        <v>0</v>
      </c>
      <c r="K8" s="133"/>
    </row>
    <row r="9" spans="2:39" x14ac:dyDescent="0.25">
      <c r="B9" s="17"/>
      <c r="C9" s="137" t="s">
        <v>10</v>
      </c>
      <c r="D9" s="117">
        <f>SUM(D8:D8)</f>
        <v>0</v>
      </c>
      <c r="E9" s="117">
        <f>SUM(E8:E8)</f>
        <v>0</v>
      </c>
      <c r="F9" s="117">
        <f>SUM(F8:F8)</f>
        <v>0</v>
      </c>
      <c r="G9" s="117">
        <f>SUM(G8:G8)</f>
        <v>0</v>
      </c>
      <c r="H9" s="117">
        <f>SUM(H8:H8)</f>
        <v>0</v>
      </c>
      <c r="I9" s="118"/>
      <c r="J9" s="117">
        <f>SUM(J8:J8)</f>
        <v>0</v>
      </c>
      <c r="K9" s="133"/>
    </row>
    <row r="10" spans="2:39" x14ac:dyDescent="0.25">
      <c r="B10" s="17"/>
      <c r="C10" s="116" t="s">
        <v>29</v>
      </c>
      <c r="D10" s="119"/>
      <c r="E10" s="119"/>
      <c r="F10" s="119"/>
      <c r="G10" s="119"/>
      <c r="H10" s="119"/>
      <c r="I10" s="118"/>
      <c r="J10" s="120" t="s">
        <v>28</v>
      </c>
      <c r="K10" s="133"/>
    </row>
    <row r="11" spans="2:39" x14ac:dyDescent="0.25">
      <c r="B11" s="17"/>
      <c r="C11" s="136"/>
      <c r="D11" s="121"/>
      <c r="E11" s="121"/>
      <c r="F11" s="121"/>
      <c r="G11" s="121"/>
      <c r="H11" s="121"/>
      <c r="I11" s="118"/>
      <c r="J11" s="121">
        <f>SUM(D11:H11)</f>
        <v>0</v>
      </c>
      <c r="K11" s="133"/>
    </row>
    <row r="12" spans="2:39" x14ac:dyDescent="0.25">
      <c r="B12" s="17"/>
      <c r="C12" s="137" t="s">
        <v>11</v>
      </c>
      <c r="D12" s="117">
        <f>SUM(D11:D11)</f>
        <v>0</v>
      </c>
      <c r="E12" s="117">
        <f>SUM(E11:E11)</f>
        <v>0</v>
      </c>
      <c r="F12" s="117">
        <f>SUM(F11:F11)</f>
        <v>0</v>
      </c>
      <c r="G12" s="117">
        <f>SUM(G11:G11)</f>
        <v>0</v>
      </c>
      <c r="H12" s="117">
        <f>SUM(H11:H11)</f>
        <v>0</v>
      </c>
      <c r="I12" s="118"/>
      <c r="J12" s="117">
        <f>SUM(J11:J11)</f>
        <v>0</v>
      </c>
      <c r="K12" s="133"/>
    </row>
    <row r="13" spans="2:39" x14ac:dyDescent="0.25">
      <c r="B13" s="17"/>
      <c r="C13" s="116" t="s">
        <v>30</v>
      </c>
      <c r="D13" s="119" t="s">
        <v>28</v>
      </c>
      <c r="E13" s="119"/>
      <c r="F13" s="119"/>
      <c r="G13" s="119"/>
      <c r="H13" s="119"/>
      <c r="I13" s="118"/>
      <c r="J13" s="120" t="s">
        <v>28</v>
      </c>
      <c r="K13" s="133"/>
    </row>
    <row r="14" spans="2:39" x14ac:dyDescent="0.25">
      <c r="B14" s="17"/>
      <c r="C14" s="136"/>
      <c r="D14" s="121"/>
      <c r="E14" s="121"/>
      <c r="F14" s="121"/>
      <c r="G14" s="121"/>
      <c r="H14" s="121"/>
      <c r="I14" s="118"/>
      <c r="J14" s="121">
        <f>SUM(D14:H14)</f>
        <v>0</v>
      </c>
      <c r="K14" s="133"/>
    </row>
    <row r="15" spans="2:39" x14ac:dyDescent="0.25">
      <c r="B15" s="17"/>
      <c r="C15" s="148" t="s">
        <v>12</v>
      </c>
      <c r="D15" s="117">
        <v>0</v>
      </c>
      <c r="E15" s="117">
        <v>0</v>
      </c>
      <c r="F15" s="117">
        <v>0</v>
      </c>
      <c r="G15" s="117">
        <v>0</v>
      </c>
      <c r="H15" s="117">
        <v>0</v>
      </c>
      <c r="I15" s="118"/>
      <c r="J15" s="117">
        <f>SUM(J14:J14)</f>
        <v>0</v>
      </c>
      <c r="K15" s="133"/>
    </row>
    <row r="16" spans="2:39" x14ac:dyDescent="0.25">
      <c r="B16" s="17"/>
      <c r="C16" s="98" t="s">
        <v>31</v>
      </c>
      <c r="D16" s="122"/>
      <c r="E16" s="123"/>
      <c r="F16" s="123"/>
      <c r="G16" s="123"/>
      <c r="H16" s="123"/>
      <c r="I16" s="118"/>
      <c r="J16" s="122" t="s">
        <v>18</v>
      </c>
      <c r="K16" s="133"/>
    </row>
    <row r="17" spans="2:11" ht="88.5" customHeight="1" x14ac:dyDescent="0.25">
      <c r="B17" s="17"/>
      <c r="C17" s="115" t="s">
        <v>210</v>
      </c>
      <c r="D17" s="121">
        <v>300000</v>
      </c>
      <c r="E17" s="119"/>
      <c r="F17" s="119"/>
      <c r="G17" s="119"/>
      <c r="H17" s="119"/>
      <c r="I17" s="120"/>
      <c r="J17" s="121">
        <f>SUM(D17:H17)</f>
        <v>300000</v>
      </c>
      <c r="K17" s="140" t="s">
        <v>115</v>
      </c>
    </row>
    <row r="18" spans="2:11" ht="78.75" customHeight="1" x14ac:dyDescent="0.25">
      <c r="B18" s="17"/>
      <c r="C18" s="115" t="s">
        <v>211</v>
      </c>
      <c r="D18" s="121">
        <v>25000</v>
      </c>
      <c r="E18" s="119"/>
      <c r="F18" s="119"/>
      <c r="G18" s="119"/>
      <c r="H18" s="119"/>
      <c r="I18" s="120"/>
      <c r="J18" s="121">
        <f t="shared" ref="J18:J36" si="0">SUM(D18:H18)</f>
        <v>25000</v>
      </c>
      <c r="K18" s="140" t="s">
        <v>212</v>
      </c>
    </row>
    <row r="19" spans="2:11" ht="69" customHeight="1" x14ac:dyDescent="0.25">
      <c r="B19" s="17"/>
      <c r="C19" s="115" t="s">
        <v>116</v>
      </c>
      <c r="D19" s="121">
        <v>300000</v>
      </c>
      <c r="E19" s="119"/>
      <c r="F19" s="119"/>
      <c r="G19" s="119"/>
      <c r="H19" s="119"/>
      <c r="I19" s="120"/>
      <c r="J19" s="121">
        <f t="shared" si="0"/>
        <v>300000</v>
      </c>
      <c r="K19" s="140" t="s">
        <v>213</v>
      </c>
    </row>
    <row r="20" spans="2:11" ht="33.75" customHeight="1" x14ac:dyDescent="0.25">
      <c r="B20" s="17"/>
      <c r="C20" s="115" t="s">
        <v>214</v>
      </c>
      <c r="D20" s="121">
        <v>45000</v>
      </c>
      <c r="E20" s="119"/>
      <c r="F20" s="119"/>
      <c r="G20" s="119"/>
      <c r="H20" s="119"/>
      <c r="I20" s="120"/>
      <c r="J20" s="121">
        <f t="shared" si="0"/>
        <v>45000</v>
      </c>
      <c r="K20" s="140" t="s">
        <v>117</v>
      </c>
    </row>
    <row r="21" spans="2:11" ht="33.75" customHeight="1" x14ac:dyDescent="0.25">
      <c r="B21" s="17"/>
      <c r="C21" s="115" t="s">
        <v>118</v>
      </c>
      <c r="D21" s="121">
        <v>25000</v>
      </c>
      <c r="E21" s="119"/>
      <c r="F21" s="119"/>
      <c r="G21" s="119"/>
      <c r="H21" s="119"/>
      <c r="I21" s="120"/>
      <c r="J21" s="121">
        <f t="shared" si="0"/>
        <v>25000</v>
      </c>
      <c r="K21" s="140" t="s">
        <v>215</v>
      </c>
    </row>
    <row r="22" spans="2:11" ht="30" x14ac:dyDescent="0.25">
      <c r="B22" s="17"/>
      <c r="C22" s="6" t="s">
        <v>216</v>
      </c>
      <c r="D22" s="121">
        <v>10000</v>
      </c>
      <c r="E22" s="119"/>
      <c r="F22" s="119"/>
      <c r="G22" s="119"/>
      <c r="H22" s="119"/>
      <c r="I22" s="120"/>
      <c r="J22" s="121">
        <f t="shared" si="0"/>
        <v>10000</v>
      </c>
      <c r="K22" s="140" t="s">
        <v>119</v>
      </c>
    </row>
    <row r="23" spans="2:11" ht="30" x14ac:dyDescent="0.25">
      <c r="B23" s="17"/>
      <c r="C23" s="115" t="s">
        <v>217</v>
      </c>
      <c r="D23" s="121">
        <v>35000</v>
      </c>
      <c r="E23" s="119"/>
      <c r="F23" s="119"/>
      <c r="G23" s="119"/>
      <c r="H23" s="119"/>
      <c r="I23" s="120"/>
      <c r="J23" s="121">
        <f t="shared" si="0"/>
        <v>35000</v>
      </c>
      <c r="K23" s="140" t="s">
        <v>120</v>
      </c>
    </row>
    <row r="24" spans="2:11" ht="60" customHeight="1" x14ac:dyDescent="0.25">
      <c r="B24" s="17"/>
      <c r="C24" s="115" t="s">
        <v>218</v>
      </c>
      <c r="D24" s="121">
        <v>16000</v>
      </c>
      <c r="E24" s="119"/>
      <c r="F24" s="119"/>
      <c r="G24" s="119"/>
      <c r="H24" s="119"/>
      <c r="I24" s="120"/>
      <c r="J24" s="121">
        <f t="shared" si="0"/>
        <v>16000</v>
      </c>
      <c r="K24" s="140" t="s">
        <v>121</v>
      </c>
    </row>
    <row r="25" spans="2:11" ht="44.25" customHeight="1" x14ac:dyDescent="0.25">
      <c r="B25" s="17"/>
      <c r="C25" s="115" t="s">
        <v>219</v>
      </c>
      <c r="D25" s="121">
        <v>16000</v>
      </c>
      <c r="E25" s="119"/>
      <c r="F25" s="119"/>
      <c r="G25" s="119"/>
      <c r="H25" s="119"/>
      <c r="I25" s="120"/>
      <c r="J25" s="121">
        <f t="shared" si="0"/>
        <v>16000</v>
      </c>
      <c r="K25" s="140" t="s">
        <v>220</v>
      </c>
    </row>
    <row r="26" spans="2:11" ht="50.25" customHeight="1" x14ac:dyDescent="0.25">
      <c r="B26" s="17"/>
      <c r="C26" s="115" t="s">
        <v>122</v>
      </c>
      <c r="D26" s="121">
        <v>50000</v>
      </c>
      <c r="E26" s="119"/>
      <c r="F26" s="119"/>
      <c r="G26" s="119"/>
      <c r="H26" s="119"/>
      <c r="I26" s="120"/>
      <c r="J26" s="121">
        <f t="shared" si="0"/>
        <v>50000</v>
      </c>
      <c r="K26" s="140" t="s">
        <v>221</v>
      </c>
    </row>
    <row r="27" spans="2:11" ht="54.75" customHeight="1" x14ac:dyDescent="0.25">
      <c r="B27" s="17"/>
      <c r="C27" s="115" t="s">
        <v>123</v>
      </c>
      <c r="D27" s="121">
        <v>10000</v>
      </c>
      <c r="E27" s="119"/>
      <c r="F27" s="119"/>
      <c r="G27" s="119"/>
      <c r="H27" s="119"/>
      <c r="I27" s="120"/>
      <c r="J27" s="121">
        <f t="shared" si="0"/>
        <v>10000</v>
      </c>
      <c r="K27" s="140" t="s">
        <v>222</v>
      </c>
    </row>
    <row r="28" spans="2:11" ht="57" customHeight="1" x14ac:dyDescent="0.25">
      <c r="B28" s="17"/>
      <c r="C28" s="115" t="s">
        <v>223</v>
      </c>
      <c r="D28" s="121">
        <v>42000</v>
      </c>
      <c r="E28" s="119"/>
      <c r="F28" s="119"/>
      <c r="G28" s="119"/>
      <c r="H28" s="119"/>
      <c r="I28" s="120"/>
      <c r="J28" s="121">
        <f t="shared" si="0"/>
        <v>42000</v>
      </c>
      <c r="K28" s="140" t="s">
        <v>124</v>
      </c>
    </row>
    <row r="29" spans="2:11" ht="85.5" customHeight="1" x14ac:dyDescent="0.25">
      <c r="B29" s="17"/>
      <c r="C29" s="115" t="s">
        <v>224</v>
      </c>
      <c r="D29" s="121">
        <v>45000</v>
      </c>
      <c r="E29" s="119"/>
      <c r="F29" s="119"/>
      <c r="G29" s="119"/>
      <c r="H29" s="119"/>
      <c r="I29" s="120"/>
      <c r="J29" s="121">
        <f t="shared" si="0"/>
        <v>45000</v>
      </c>
      <c r="K29" s="140" t="s">
        <v>225</v>
      </c>
    </row>
    <row r="30" spans="2:11" ht="77.25" customHeight="1" x14ac:dyDescent="0.25">
      <c r="B30" s="17"/>
      <c r="C30" s="6" t="s">
        <v>226</v>
      </c>
      <c r="D30" s="121">
        <v>15000</v>
      </c>
      <c r="E30" s="119"/>
      <c r="F30" s="119"/>
      <c r="G30" s="119"/>
      <c r="H30" s="119"/>
      <c r="I30" s="120"/>
      <c r="J30" s="121">
        <f t="shared" si="0"/>
        <v>15000</v>
      </c>
      <c r="K30" s="140" t="s">
        <v>125</v>
      </c>
    </row>
    <row r="31" spans="2:11" ht="39" customHeight="1" x14ac:dyDescent="0.25">
      <c r="B31" s="17" t="s">
        <v>32</v>
      </c>
      <c r="C31" s="115" t="s">
        <v>227</v>
      </c>
      <c r="D31" s="124">
        <v>60000</v>
      </c>
      <c r="E31" s="119"/>
      <c r="F31" s="119"/>
      <c r="G31" s="119"/>
      <c r="H31" s="119"/>
      <c r="I31" s="120"/>
      <c r="J31" s="121">
        <v>60000</v>
      </c>
      <c r="K31" s="140" t="s">
        <v>228</v>
      </c>
    </row>
    <row r="32" spans="2:11" ht="69.75" customHeight="1" x14ac:dyDescent="0.25">
      <c r="B32" s="17"/>
      <c r="C32" s="136" t="s">
        <v>126</v>
      </c>
      <c r="D32" s="124">
        <v>50000</v>
      </c>
      <c r="E32" s="119"/>
      <c r="F32" s="119"/>
      <c r="G32" s="119"/>
      <c r="H32" s="119"/>
      <c r="I32" s="120"/>
      <c r="J32" s="121">
        <f t="shared" si="0"/>
        <v>50000</v>
      </c>
      <c r="K32" s="140" t="s">
        <v>229</v>
      </c>
    </row>
    <row r="33" spans="2:11" ht="60.75" customHeight="1" x14ac:dyDescent="0.25">
      <c r="B33" s="17"/>
      <c r="C33" s="115" t="s">
        <v>57</v>
      </c>
      <c r="D33" s="124">
        <v>656000</v>
      </c>
      <c r="E33" s="121"/>
      <c r="F33" s="121"/>
      <c r="G33" s="121"/>
      <c r="H33" s="121"/>
      <c r="I33" s="128"/>
      <c r="J33" s="121">
        <f t="shared" si="0"/>
        <v>656000</v>
      </c>
      <c r="K33" s="140" t="s">
        <v>112</v>
      </c>
    </row>
    <row r="34" spans="2:11" ht="66" customHeight="1" x14ac:dyDescent="0.25">
      <c r="B34" s="17"/>
      <c r="C34" s="115" t="s">
        <v>54</v>
      </c>
      <c r="D34" s="121">
        <v>7000000</v>
      </c>
      <c r="E34" s="121"/>
      <c r="F34" s="121"/>
      <c r="G34" s="121"/>
      <c r="H34" s="121"/>
      <c r="I34" s="128"/>
      <c r="J34" s="121">
        <f t="shared" si="0"/>
        <v>7000000</v>
      </c>
      <c r="K34" s="140" t="s">
        <v>111</v>
      </c>
    </row>
    <row r="35" spans="2:11" ht="69" customHeight="1" x14ac:dyDescent="0.25">
      <c r="B35" s="17"/>
      <c r="C35" s="115" t="s">
        <v>55</v>
      </c>
      <c r="D35" s="129">
        <v>1000000</v>
      </c>
      <c r="E35" s="129"/>
      <c r="F35" s="129"/>
      <c r="G35" s="129"/>
      <c r="H35" s="129"/>
      <c r="I35" s="130"/>
      <c r="J35" s="121">
        <f t="shared" si="0"/>
        <v>1000000</v>
      </c>
      <c r="K35" s="140" t="s">
        <v>230</v>
      </c>
    </row>
    <row r="36" spans="2:11" ht="78.75" customHeight="1" x14ac:dyDescent="0.25">
      <c r="B36" s="17"/>
      <c r="C36" s="115" t="s">
        <v>48</v>
      </c>
      <c r="D36" s="129">
        <v>2000000</v>
      </c>
      <c r="E36" s="129"/>
      <c r="F36" s="129"/>
      <c r="G36" s="129"/>
      <c r="H36" s="129"/>
      <c r="I36" s="130"/>
      <c r="J36" s="121">
        <f t="shared" si="0"/>
        <v>2000000</v>
      </c>
      <c r="K36" s="140" t="s">
        <v>231</v>
      </c>
    </row>
    <row r="37" spans="2:11" x14ac:dyDescent="0.25">
      <c r="B37" s="17"/>
      <c r="C37" s="216" t="s">
        <v>13</v>
      </c>
      <c r="D37" s="125">
        <f>SUM(D17:D36)</f>
        <v>11700000</v>
      </c>
      <c r="E37" s="125">
        <f t="shared" ref="E37:H37" si="1">SUM(E17:E36)</f>
        <v>0</v>
      </c>
      <c r="F37" s="125">
        <f t="shared" si="1"/>
        <v>0</v>
      </c>
      <c r="G37" s="125">
        <f t="shared" si="1"/>
        <v>0</v>
      </c>
      <c r="H37" s="125">
        <f t="shared" si="1"/>
        <v>0</v>
      </c>
      <c r="I37" s="118"/>
      <c r="J37" s="126">
        <f>SUM(D37:H37)</f>
        <v>11700000</v>
      </c>
    </row>
    <row r="38" spans="2:11" x14ac:dyDescent="0.25">
      <c r="B38" s="17"/>
      <c r="C38" s="116" t="s">
        <v>46</v>
      </c>
      <c r="D38" s="119" t="s">
        <v>28</v>
      </c>
      <c r="E38" s="119"/>
      <c r="F38" s="119"/>
      <c r="G38" s="119"/>
      <c r="H38" s="119"/>
      <c r="I38" s="118"/>
      <c r="J38" s="121"/>
    </row>
    <row r="39" spans="2:11" ht="53.25" customHeight="1" x14ac:dyDescent="0.25">
      <c r="B39" s="17"/>
      <c r="C39" s="146"/>
      <c r="D39" s="47"/>
      <c r="E39" s="147"/>
      <c r="F39" s="13"/>
      <c r="G39" s="13"/>
      <c r="H39" s="147"/>
      <c r="J39" s="13"/>
    </row>
    <row r="40" spans="2:11" x14ac:dyDescent="0.25">
      <c r="B40" s="17"/>
      <c r="C40" s="115" t="s">
        <v>14</v>
      </c>
      <c r="D40" s="117"/>
      <c r="E40" s="117"/>
      <c r="F40" s="117"/>
      <c r="G40" s="117"/>
      <c r="H40" s="117"/>
      <c r="I40" s="118"/>
      <c r="J40" s="117"/>
    </row>
    <row r="41" spans="2:11" x14ac:dyDescent="0.25">
      <c r="B41" s="17"/>
      <c r="C41" s="116" t="s">
        <v>34</v>
      </c>
      <c r="D41" s="119" t="s">
        <v>28</v>
      </c>
      <c r="E41" s="119"/>
      <c r="F41" s="119"/>
      <c r="G41" s="119"/>
      <c r="H41" s="119"/>
      <c r="I41" s="118"/>
      <c r="J41" s="121"/>
    </row>
    <row r="42" spans="2:11" ht="90" x14ac:dyDescent="0.25">
      <c r="B42" s="17"/>
      <c r="C42" s="115" t="s">
        <v>110</v>
      </c>
      <c r="D42" s="124">
        <v>50000</v>
      </c>
      <c r="E42" s="119"/>
      <c r="F42" s="119"/>
      <c r="G42" s="119"/>
      <c r="H42" s="119"/>
      <c r="I42" s="118"/>
      <c r="J42" s="121">
        <v>50000</v>
      </c>
      <c r="K42" s="140" t="s">
        <v>109</v>
      </c>
    </row>
    <row r="43" spans="2:11" ht="75" x14ac:dyDescent="0.25">
      <c r="B43" s="17"/>
      <c r="C43" s="115" t="s">
        <v>108</v>
      </c>
      <c r="D43" s="121">
        <v>240000</v>
      </c>
      <c r="E43" s="121"/>
      <c r="F43" s="121"/>
      <c r="G43" s="121"/>
      <c r="H43" s="121"/>
      <c r="I43" s="128"/>
      <c r="J43" s="121">
        <f>SUM(D43:I43)</f>
        <v>240000</v>
      </c>
      <c r="K43" s="140" t="s">
        <v>107</v>
      </c>
    </row>
    <row r="44" spans="2:11" ht="105" x14ac:dyDescent="0.25">
      <c r="B44" s="17"/>
      <c r="C44" s="115" t="s">
        <v>106</v>
      </c>
      <c r="D44" s="121">
        <v>100000</v>
      </c>
      <c r="E44" s="121"/>
      <c r="F44" s="121"/>
      <c r="G44" s="121"/>
      <c r="H44" s="121"/>
      <c r="I44" s="128"/>
      <c r="J44" s="121">
        <f>SUM(D44:I44)</f>
        <v>100000</v>
      </c>
      <c r="K44" s="140" t="s">
        <v>232</v>
      </c>
    </row>
    <row r="45" spans="2:11" ht="90" x14ac:dyDescent="0.25">
      <c r="B45" s="17"/>
      <c r="C45" s="115" t="s">
        <v>47</v>
      </c>
      <c r="D45" s="121">
        <v>62000</v>
      </c>
      <c r="E45" s="121"/>
      <c r="F45" s="121"/>
      <c r="G45" s="121"/>
      <c r="H45" s="121"/>
      <c r="I45" s="128"/>
      <c r="J45" s="121">
        <f>SUM(D45:I45)</f>
        <v>62000</v>
      </c>
      <c r="K45" s="140" t="s">
        <v>233</v>
      </c>
    </row>
    <row r="46" spans="2:11" ht="90" x14ac:dyDescent="0.25">
      <c r="B46" s="17"/>
      <c r="C46" s="131" t="s">
        <v>56</v>
      </c>
      <c r="D46" s="129">
        <v>55200</v>
      </c>
      <c r="E46" s="129"/>
      <c r="F46" s="129"/>
      <c r="G46" s="129"/>
      <c r="H46" s="129"/>
      <c r="I46" s="130"/>
      <c r="J46" s="129">
        <f>SUM(D46:I46)</f>
        <v>55200</v>
      </c>
      <c r="K46" s="140" t="s">
        <v>234</v>
      </c>
    </row>
    <row r="47" spans="2:11" x14ac:dyDescent="0.25">
      <c r="B47" s="17"/>
      <c r="C47" s="137" t="s">
        <v>15</v>
      </c>
      <c r="D47" s="117">
        <f>SUM(D42:D46)</f>
        <v>507200</v>
      </c>
      <c r="E47" s="117">
        <v>0</v>
      </c>
      <c r="F47" s="117">
        <v>0</v>
      </c>
      <c r="G47" s="117">
        <v>0</v>
      </c>
      <c r="H47" s="117">
        <v>0</v>
      </c>
      <c r="I47" s="118"/>
      <c r="J47" s="117">
        <f>SUM(D47:H47)</f>
        <v>507200</v>
      </c>
    </row>
    <row r="48" spans="2:11" x14ac:dyDescent="0.25">
      <c r="B48" s="17"/>
      <c r="C48" s="116" t="s">
        <v>35</v>
      </c>
      <c r="D48" s="119" t="s">
        <v>28</v>
      </c>
      <c r="E48" s="119"/>
      <c r="F48" s="119"/>
      <c r="G48" s="119"/>
      <c r="H48" s="119"/>
      <c r="I48" s="118"/>
      <c r="J48" s="121"/>
    </row>
    <row r="49" spans="2:11" x14ac:dyDescent="0.25">
      <c r="B49" s="17"/>
      <c r="C49" s="138"/>
      <c r="D49" s="118"/>
      <c r="E49" s="119"/>
      <c r="F49" s="119"/>
      <c r="G49" s="119"/>
      <c r="H49" s="119"/>
      <c r="I49" s="118"/>
      <c r="J49" s="121"/>
    </row>
    <row r="50" spans="2:11" x14ac:dyDescent="0.25">
      <c r="B50" s="18"/>
      <c r="C50" s="137" t="s">
        <v>16</v>
      </c>
      <c r="D50" s="117">
        <v>0</v>
      </c>
      <c r="E50" s="117">
        <v>0</v>
      </c>
      <c r="F50" s="117">
        <v>0</v>
      </c>
      <c r="G50" s="117">
        <v>0</v>
      </c>
      <c r="H50" s="117">
        <v>0</v>
      </c>
      <c r="I50" s="118"/>
      <c r="J50" s="117">
        <v>0</v>
      </c>
    </row>
    <row r="51" spans="2:11" x14ac:dyDescent="0.25">
      <c r="B51" s="18"/>
      <c r="C51" s="137" t="s">
        <v>17</v>
      </c>
      <c r="D51" s="117">
        <f>SUM(D50+D47+D40+D37+D15+D12+D9)</f>
        <v>12207200</v>
      </c>
      <c r="E51" s="117">
        <f>SUM(E50,E47,E40,E37,E15,E12,E9)</f>
        <v>0</v>
      </c>
      <c r="F51" s="117">
        <f>SUM(F50,F47,F40,F37,F15,F12,F9)</f>
        <v>0</v>
      </c>
      <c r="G51" s="117">
        <f>SUM(G50,G47,G40,G37,G15,G12,G9)</f>
        <v>0</v>
      </c>
      <c r="H51" s="117">
        <f>SUM(H50,H47,H40,H37,H15,H12,H9)</f>
        <v>0</v>
      </c>
      <c r="I51" s="118"/>
      <c r="J51" s="117">
        <f>SUM(D51:H51)</f>
        <v>12207200</v>
      </c>
    </row>
    <row r="52" spans="2:11" x14ac:dyDescent="0.25">
      <c r="B52" s="6"/>
      <c r="C52" s="138"/>
      <c r="D52" s="118"/>
      <c r="E52" s="118"/>
      <c r="F52" s="118"/>
      <c r="G52" s="118"/>
      <c r="H52" s="118"/>
      <c r="I52" s="118"/>
      <c r="J52" s="118" t="s">
        <v>18</v>
      </c>
    </row>
    <row r="53" spans="2:11" ht="30" x14ac:dyDescent="0.25">
      <c r="B53" s="50" t="s">
        <v>36</v>
      </c>
      <c r="C53" s="116" t="s">
        <v>36</v>
      </c>
      <c r="D53" s="120"/>
      <c r="E53" s="120"/>
      <c r="F53" s="120"/>
      <c r="G53" s="120"/>
      <c r="H53" s="120"/>
      <c r="I53" s="118"/>
      <c r="J53" s="120" t="s">
        <v>18</v>
      </c>
    </row>
    <row r="54" spans="2:11" x14ac:dyDescent="0.25">
      <c r="B54" s="17"/>
      <c r="C54" s="136"/>
      <c r="D54" s="119"/>
      <c r="E54" s="119"/>
      <c r="F54" s="119"/>
      <c r="G54" s="119"/>
      <c r="H54" s="119"/>
      <c r="I54" s="118"/>
      <c r="J54" s="121"/>
    </row>
    <row r="55" spans="2:11" x14ac:dyDescent="0.25">
      <c r="B55" s="17"/>
      <c r="C55" s="136"/>
      <c r="D55" s="119"/>
      <c r="E55" s="119"/>
      <c r="F55" s="119"/>
      <c r="G55" s="119"/>
      <c r="H55" s="119"/>
      <c r="I55" s="118"/>
      <c r="J55" s="121">
        <f>SUM(D55:H55)</f>
        <v>0</v>
      </c>
    </row>
    <row r="56" spans="2:11" x14ac:dyDescent="0.25">
      <c r="B56" s="18"/>
      <c r="C56" s="137" t="s">
        <v>19</v>
      </c>
      <c r="D56" s="117">
        <f>SUM(D54:D55)</f>
        <v>0</v>
      </c>
      <c r="E56" s="117">
        <f>SUM(E54:E55)</f>
        <v>0</v>
      </c>
      <c r="F56" s="117">
        <f>SUM(F54:F55)</f>
        <v>0</v>
      </c>
      <c r="G56" s="117">
        <f>SUM(G54:G55)</f>
        <v>0</v>
      </c>
      <c r="H56" s="117">
        <f>SUM(H54:H55)</f>
        <v>0</v>
      </c>
      <c r="I56" s="118"/>
      <c r="J56" s="117">
        <f>SUM(J54:J55)</f>
        <v>0</v>
      </c>
    </row>
    <row r="57" spans="2:11" ht="15.75" thickBot="1" x14ac:dyDescent="0.3">
      <c r="B57" s="6"/>
      <c r="C57" s="138"/>
      <c r="D57" s="118"/>
      <c r="E57" s="118"/>
      <c r="F57" s="118"/>
      <c r="G57" s="118"/>
      <c r="H57" s="118"/>
      <c r="I57" s="118"/>
      <c r="J57" s="118" t="s">
        <v>18</v>
      </c>
    </row>
    <row r="58" spans="2:11" s="1" customFormat="1" ht="30.75" thickBot="1" x14ac:dyDescent="0.3">
      <c r="B58" s="14" t="s">
        <v>20</v>
      </c>
      <c r="C58" s="139"/>
      <c r="D58" s="132">
        <f>SUM(D56,D51)</f>
        <v>12207200</v>
      </c>
      <c r="E58" s="132">
        <f>SUM(E56,E51)</f>
        <v>0</v>
      </c>
      <c r="F58" s="132">
        <f>SUM(F56,F51)</f>
        <v>0</v>
      </c>
      <c r="G58" s="132">
        <f>SUM(G56,G51)</f>
        <v>0</v>
      </c>
      <c r="H58" s="132">
        <f>SUM(H56,H51)</f>
        <v>0</v>
      </c>
      <c r="I58" s="118"/>
      <c r="J58" s="132">
        <f>SUM(J56,J51)</f>
        <v>12207200</v>
      </c>
      <c r="K58" s="141"/>
    </row>
    <row r="59" spans="2:11" x14ac:dyDescent="0.25">
      <c r="B59" s="6"/>
    </row>
    <row r="60" spans="2:11" x14ac:dyDescent="0.25">
      <c r="B60" s="6"/>
    </row>
    <row r="61" spans="2:11" x14ac:dyDescent="0.25">
      <c r="B61" s="6"/>
    </row>
    <row r="62" spans="2:11" x14ac:dyDescent="0.25">
      <c r="B62" s="6"/>
    </row>
    <row r="63" spans="2:11" x14ac:dyDescent="0.25">
      <c r="B63" s="6"/>
    </row>
    <row r="64" spans="2:11"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9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AL60"/>
  <sheetViews>
    <sheetView showGridLines="0" topLeftCell="A31" zoomScale="60" zoomScaleNormal="60" workbookViewId="0">
      <selection activeCell="F27" sqref="F27"/>
    </sheetView>
  </sheetViews>
  <sheetFormatPr defaultColWidth="9.140625" defaultRowHeight="15" x14ac:dyDescent="0.25"/>
  <cols>
    <col min="1" max="1" width="3.140625" customWidth="1"/>
    <col min="2" max="2" width="10.140625" customWidth="1"/>
    <col min="3" max="3" width="35.4257812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2.85546875" customWidth="1"/>
    <col min="11" max="11" width="57.5703125" customWidth="1"/>
    <col min="12" max="13" width="9.42578125" bestFit="1" customWidth="1"/>
    <col min="16" max="16" width="15.140625" customWidth="1"/>
    <col min="17" max="17" width="9.42578125" bestFit="1" customWidth="1"/>
    <col min="18" max="19" width="10.28515625" bestFit="1" customWidth="1"/>
  </cols>
  <sheetData>
    <row r="2" spans="1:38" ht="23.25" x14ac:dyDescent="0.35">
      <c r="A2" s="69"/>
      <c r="B2" s="89" t="s">
        <v>147</v>
      </c>
      <c r="C2" s="69"/>
      <c r="D2" s="87"/>
      <c r="E2" s="88"/>
      <c r="F2" s="69"/>
      <c r="G2" s="69"/>
      <c r="H2" s="88"/>
      <c r="I2" s="69"/>
      <c r="J2" s="69"/>
      <c r="K2" s="69"/>
      <c r="L2" s="69"/>
      <c r="M2" s="69"/>
      <c r="N2" s="69"/>
      <c r="O2" s="69"/>
      <c r="P2" s="69"/>
      <c r="Q2" s="69"/>
      <c r="R2" s="69"/>
      <c r="S2" s="69"/>
    </row>
    <row r="3" spans="1:38" x14ac:dyDescent="0.25">
      <c r="A3" s="69"/>
      <c r="B3" s="69"/>
      <c r="C3" s="69"/>
      <c r="D3" s="87"/>
      <c r="E3" s="88"/>
      <c r="F3" s="69"/>
      <c r="G3" s="69"/>
      <c r="H3" s="88"/>
      <c r="I3" s="69"/>
      <c r="J3" s="69"/>
      <c r="K3" s="69"/>
      <c r="L3" s="69"/>
      <c r="M3" s="69"/>
      <c r="N3" s="69"/>
      <c r="O3" s="69"/>
      <c r="P3" s="69"/>
      <c r="Q3" s="69"/>
      <c r="R3" s="69"/>
      <c r="S3" s="69"/>
    </row>
    <row r="4" spans="1:38" x14ac:dyDescent="0.25">
      <c r="A4" s="69"/>
      <c r="B4" s="69"/>
      <c r="C4" s="69"/>
      <c r="D4" s="87"/>
      <c r="E4" s="88"/>
      <c r="F4" s="69"/>
      <c r="G4" s="69"/>
      <c r="H4" s="88"/>
      <c r="I4" s="69"/>
      <c r="J4" s="69"/>
      <c r="K4" s="69"/>
      <c r="L4" s="69"/>
      <c r="M4" s="69"/>
      <c r="N4" s="69"/>
      <c r="O4" s="69"/>
      <c r="P4" s="69"/>
      <c r="Q4" s="69"/>
      <c r="R4" s="69"/>
      <c r="S4" s="69"/>
    </row>
    <row r="5" spans="1:38" ht="18.75" x14ac:dyDescent="0.3">
      <c r="A5" s="69"/>
      <c r="B5" s="90" t="s">
        <v>0</v>
      </c>
      <c r="C5" s="91"/>
      <c r="D5" s="91"/>
      <c r="E5" s="91"/>
      <c r="F5" s="91"/>
      <c r="G5" s="91"/>
      <c r="H5" s="91"/>
      <c r="I5" s="91"/>
      <c r="J5" s="92"/>
      <c r="K5" s="69"/>
      <c r="L5" s="69"/>
      <c r="M5" s="69"/>
      <c r="N5" s="69"/>
      <c r="O5" s="69"/>
      <c r="P5" s="69"/>
      <c r="Q5" s="69"/>
      <c r="R5" s="69"/>
      <c r="S5" s="69"/>
    </row>
    <row r="6" spans="1:38" ht="30" x14ac:dyDescent="0.25">
      <c r="A6" s="69"/>
      <c r="B6" s="93" t="s">
        <v>1</v>
      </c>
      <c r="C6" s="93" t="s">
        <v>2</v>
      </c>
      <c r="D6" s="93" t="s">
        <v>3</v>
      </c>
      <c r="E6" s="94" t="s">
        <v>4</v>
      </c>
      <c r="F6" s="94" t="s">
        <v>5</v>
      </c>
      <c r="G6" s="94" t="s">
        <v>6</v>
      </c>
      <c r="H6" s="95" t="s">
        <v>7</v>
      </c>
      <c r="I6" s="96"/>
      <c r="J6" s="97" t="s">
        <v>8</v>
      </c>
      <c r="K6" s="69"/>
      <c r="L6" s="69"/>
      <c r="M6" s="69"/>
      <c r="N6" s="69"/>
      <c r="O6" s="69"/>
      <c r="P6" s="69"/>
      <c r="Q6" s="69"/>
      <c r="R6" s="69"/>
      <c r="S6" s="69"/>
    </row>
    <row r="7" spans="1:38" s="5" customFormat="1" ht="30" x14ac:dyDescent="0.25">
      <c r="A7" s="69"/>
      <c r="B7" s="98" t="s">
        <v>9</v>
      </c>
      <c r="C7" s="67" t="s">
        <v>27</v>
      </c>
      <c r="D7" s="68" t="s">
        <v>28</v>
      </c>
      <c r="E7" s="68" t="s">
        <v>28</v>
      </c>
      <c r="F7" s="68" t="s">
        <v>28</v>
      </c>
      <c r="G7" s="68"/>
      <c r="H7" s="68" t="s">
        <v>28</v>
      </c>
      <c r="I7" s="69"/>
      <c r="J7" s="70" t="s">
        <v>28</v>
      </c>
      <c r="K7" s="69"/>
      <c r="L7" s="69"/>
      <c r="M7" s="69"/>
      <c r="N7" s="69"/>
      <c r="O7" s="69"/>
      <c r="P7" s="69"/>
      <c r="Q7" s="69"/>
      <c r="R7" s="69"/>
      <c r="S7" s="69"/>
      <c r="T7"/>
      <c r="U7"/>
      <c r="V7"/>
      <c r="W7"/>
      <c r="X7"/>
      <c r="Y7"/>
      <c r="Z7"/>
      <c r="AA7"/>
      <c r="AB7"/>
      <c r="AC7"/>
      <c r="AD7"/>
      <c r="AE7"/>
      <c r="AF7"/>
      <c r="AG7"/>
      <c r="AH7"/>
      <c r="AI7"/>
      <c r="AJ7"/>
      <c r="AK7"/>
      <c r="AL7"/>
    </row>
    <row r="8" spans="1:38" x14ac:dyDescent="0.25">
      <c r="A8" s="69"/>
      <c r="B8" s="99"/>
      <c r="C8" s="74"/>
      <c r="D8" s="75"/>
      <c r="E8" s="75"/>
      <c r="F8" s="75"/>
      <c r="G8" s="75"/>
      <c r="H8" s="75"/>
      <c r="I8" s="73"/>
      <c r="J8" s="75">
        <f>SUM(D8:H8)</f>
        <v>0</v>
      </c>
      <c r="K8" s="69"/>
      <c r="L8" s="69"/>
      <c r="M8" s="69"/>
      <c r="N8" s="69"/>
      <c r="O8" s="69"/>
      <c r="P8" s="69"/>
      <c r="Q8" s="69"/>
      <c r="R8" s="69"/>
      <c r="S8" s="69"/>
    </row>
    <row r="9" spans="1:38" x14ac:dyDescent="0.25">
      <c r="A9" s="69"/>
      <c r="B9" s="99"/>
      <c r="C9" s="74"/>
      <c r="D9" s="75"/>
      <c r="E9" s="75"/>
      <c r="F9" s="75"/>
      <c r="G9" s="75"/>
      <c r="H9" s="75"/>
      <c r="I9" s="69"/>
      <c r="J9" s="75">
        <f>SUM(D9:H9)</f>
        <v>0</v>
      </c>
      <c r="K9" s="69"/>
      <c r="L9" s="69"/>
      <c r="M9" s="69"/>
      <c r="N9" s="69"/>
      <c r="O9" s="69"/>
      <c r="P9" s="69"/>
      <c r="Q9" s="69"/>
      <c r="R9" s="69"/>
      <c r="S9" s="69"/>
    </row>
    <row r="10" spans="1:38" x14ac:dyDescent="0.25">
      <c r="A10" s="69"/>
      <c r="B10" s="99"/>
      <c r="C10" s="74"/>
      <c r="D10" s="75"/>
      <c r="E10" s="75"/>
      <c r="F10" s="75"/>
      <c r="G10" s="75"/>
      <c r="H10" s="75"/>
      <c r="I10" s="69"/>
      <c r="J10" s="75">
        <f>SUM(D10:H10)</f>
        <v>0</v>
      </c>
      <c r="K10" s="69"/>
      <c r="L10" s="69"/>
      <c r="M10" s="69"/>
      <c r="N10" s="69"/>
      <c r="O10" s="69"/>
      <c r="P10" s="69"/>
      <c r="Q10" s="69"/>
      <c r="R10" s="69"/>
      <c r="S10" s="69"/>
    </row>
    <row r="11" spans="1:38" x14ac:dyDescent="0.25">
      <c r="A11" s="69"/>
      <c r="B11" s="99"/>
      <c r="C11" s="76" t="s">
        <v>10</v>
      </c>
      <c r="D11" s="100">
        <f>SUM(D8:D10)</f>
        <v>0</v>
      </c>
      <c r="E11" s="100">
        <f>SUM(E8:E10)</f>
        <v>0</v>
      </c>
      <c r="F11" s="100">
        <f>SUM(F8:F10)</f>
        <v>0</v>
      </c>
      <c r="G11" s="100">
        <f>SUM(G8:G10)</f>
        <v>0</v>
      </c>
      <c r="H11" s="100">
        <f>SUM(H8:H10)</f>
        <v>0</v>
      </c>
      <c r="I11" s="69"/>
      <c r="J11" s="100">
        <f>SUM(J8:J10)</f>
        <v>0</v>
      </c>
      <c r="K11" s="69"/>
      <c r="L11" s="69"/>
      <c r="M11" s="69"/>
      <c r="N11" s="69"/>
      <c r="O11" s="69"/>
      <c r="P11" s="69"/>
      <c r="Q11" s="69"/>
      <c r="R11" s="69"/>
      <c r="S11" s="69"/>
    </row>
    <row r="12" spans="1:38" x14ac:dyDescent="0.25">
      <c r="A12" s="69"/>
      <c r="B12" s="99"/>
      <c r="C12" s="77" t="s">
        <v>29</v>
      </c>
      <c r="D12" s="68" t="s">
        <v>28</v>
      </c>
      <c r="E12" s="68"/>
      <c r="F12" s="68"/>
      <c r="G12" s="68"/>
      <c r="H12" s="68"/>
      <c r="I12" s="69"/>
      <c r="J12" s="70" t="s">
        <v>28</v>
      </c>
      <c r="K12" s="69"/>
      <c r="L12" s="69"/>
      <c r="M12" s="69"/>
      <c r="N12" s="69"/>
      <c r="O12" s="69"/>
      <c r="P12" s="69"/>
      <c r="Q12" s="69"/>
      <c r="R12" s="69"/>
      <c r="S12" s="69"/>
    </row>
    <row r="13" spans="1:38" x14ac:dyDescent="0.25">
      <c r="A13" s="69"/>
      <c r="B13" s="99"/>
      <c r="C13" s="74"/>
      <c r="D13" s="75"/>
      <c r="E13" s="75"/>
      <c r="F13" s="75"/>
      <c r="G13" s="75"/>
      <c r="H13" s="75"/>
      <c r="I13" s="69"/>
      <c r="J13" s="75">
        <f>SUM(D13:H13)</f>
        <v>0</v>
      </c>
      <c r="K13" s="69"/>
      <c r="L13" s="69"/>
      <c r="M13" s="69"/>
      <c r="N13" s="69"/>
      <c r="O13" s="69"/>
      <c r="P13" s="69"/>
      <c r="Q13" s="69"/>
      <c r="R13" s="69"/>
      <c r="S13" s="69"/>
    </row>
    <row r="14" spans="1:38" x14ac:dyDescent="0.25">
      <c r="A14" s="69"/>
      <c r="B14" s="99"/>
      <c r="C14" s="74"/>
      <c r="D14" s="75"/>
      <c r="E14" s="75"/>
      <c r="F14" s="75"/>
      <c r="G14" s="75"/>
      <c r="H14" s="75"/>
      <c r="I14" s="69"/>
      <c r="J14" s="75">
        <f>SUM(D14:H14)</f>
        <v>0</v>
      </c>
      <c r="K14" s="69"/>
      <c r="L14" s="69"/>
      <c r="M14" s="69"/>
      <c r="N14" s="69"/>
      <c r="O14" s="69"/>
      <c r="P14" s="69"/>
      <c r="Q14" s="69"/>
      <c r="R14" s="69"/>
      <c r="S14" s="69"/>
    </row>
    <row r="15" spans="1:38" x14ac:dyDescent="0.25">
      <c r="A15" s="69"/>
      <c r="B15" s="99"/>
      <c r="C15" s="68"/>
      <c r="D15" s="75"/>
      <c r="E15" s="75"/>
      <c r="F15" s="75"/>
      <c r="G15" s="75"/>
      <c r="H15" s="75"/>
      <c r="I15" s="69"/>
      <c r="J15" s="75">
        <f>SUM(D15:H15)</f>
        <v>0</v>
      </c>
      <c r="K15" s="69"/>
      <c r="L15" s="69"/>
      <c r="M15" s="69"/>
      <c r="N15" s="69"/>
      <c r="O15" s="69"/>
      <c r="P15" s="69"/>
      <c r="Q15" s="69"/>
      <c r="R15" s="69"/>
      <c r="S15" s="69"/>
    </row>
    <row r="16" spans="1:38" x14ac:dyDescent="0.25">
      <c r="A16" s="69"/>
      <c r="B16" s="99"/>
      <c r="C16" s="76" t="s">
        <v>11</v>
      </c>
      <c r="D16" s="100">
        <f>SUM(D13:D15)</f>
        <v>0</v>
      </c>
      <c r="E16" s="100">
        <f>SUM(E13:E15)</f>
        <v>0</v>
      </c>
      <c r="F16" s="100">
        <f>SUM(F13:F15)</f>
        <v>0</v>
      </c>
      <c r="G16" s="100">
        <f>SUM(G13:G15)</f>
        <v>0</v>
      </c>
      <c r="H16" s="100">
        <f>SUM(H13:H15)</f>
        <v>0</v>
      </c>
      <c r="I16" s="69"/>
      <c r="J16" s="100">
        <f>SUM(J13:J15)</f>
        <v>0</v>
      </c>
      <c r="K16" s="69"/>
      <c r="L16" s="69"/>
      <c r="M16" s="69"/>
      <c r="N16" s="69"/>
      <c r="O16" s="69"/>
      <c r="P16" s="69"/>
      <c r="Q16" s="69"/>
      <c r="R16" s="69"/>
      <c r="S16" s="69"/>
    </row>
    <row r="17" spans="1:19" x14ac:dyDescent="0.25">
      <c r="A17" s="69"/>
      <c r="B17" s="99"/>
      <c r="C17" s="77" t="s">
        <v>30</v>
      </c>
      <c r="D17" s="68" t="s">
        <v>28</v>
      </c>
      <c r="E17" s="68"/>
      <c r="F17" s="68"/>
      <c r="G17" s="68"/>
      <c r="H17" s="68"/>
      <c r="I17" s="69"/>
      <c r="J17" s="70" t="s">
        <v>28</v>
      </c>
      <c r="K17" s="69"/>
      <c r="L17" s="69"/>
      <c r="M17" s="69"/>
      <c r="N17" s="69"/>
      <c r="O17" s="69"/>
      <c r="P17" s="69"/>
      <c r="Q17" s="69"/>
      <c r="R17" s="69"/>
      <c r="S17" s="69"/>
    </row>
    <row r="18" spans="1:19" x14ac:dyDescent="0.25">
      <c r="A18" s="69"/>
      <c r="B18" s="99"/>
      <c r="C18" s="101"/>
      <c r="D18" s="75"/>
      <c r="E18" s="75"/>
      <c r="F18" s="75"/>
      <c r="G18" s="75"/>
      <c r="H18" s="75"/>
      <c r="I18" s="69"/>
      <c r="J18" s="75">
        <f>SUM(D18:H18)</f>
        <v>0</v>
      </c>
      <c r="K18" s="69"/>
      <c r="L18" s="69"/>
      <c r="M18" s="69"/>
      <c r="N18" s="69"/>
      <c r="O18" s="69"/>
      <c r="P18" s="69"/>
      <c r="Q18" s="69"/>
      <c r="R18" s="69"/>
      <c r="S18" s="69"/>
    </row>
    <row r="19" spans="1:19" x14ac:dyDescent="0.25">
      <c r="A19" s="69"/>
      <c r="B19" s="99"/>
      <c r="C19" s="74"/>
      <c r="D19" s="75"/>
      <c r="E19" s="75"/>
      <c r="F19" s="75"/>
      <c r="G19" s="75"/>
      <c r="H19" s="75"/>
      <c r="I19" s="73"/>
      <c r="J19" s="75">
        <f>SUM(D19:H19)</f>
        <v>0</v>
      </c>
      <c r="K19" s="69"/>
      <c r="L19" s="69"/>
      <c r="M19" s="69"/>
      <c r="N19" s="69"/>
      <c r="O19" s="69"/>
      <c r="P19" s="69"/>
      <c r="Q19" s="69"/>
      <c r="R19" s="69"/>
      <c r="S19" s="69"/>
    </row>
    <row r="20" spans="1:19" x14ac:dyDescent="0.25">
      <c r="A20" s="69"/>
      <c r="B20" s="99"/>
      <c r="C20" s="76" t="s">
        <v>12</v>
      </c>
      <c r="D20" s="100">
        <f>SUM(D19:D19)</f>
        <v>0</v>
      </c>
      <c r="E20" s="100">
        <f>SUM(E19:E19)</f>
        <v>0</v>
      </c>
      <c r="F20" s="100">
        <f>SUM(F19:F19)</f>
        <v>0</v>
      </c>
      <c r="G20" s="100">
        <f>SUM(G19:G19)</f>
        <v>0</v>
      </c>
      <c r="H20" s="100">
        <f>SUM(H19:H19)</f>
        <v>0</v>
      </c>
      <c r="I20" s="69"/>
      <c r="J20" s="100">
        <f>SUM(J18:J19)</f>
        <v>0</v>
      </c>
      <c r="K20" s="69"/>
      <c r="L20" s="69"/>
      <c r="M20" s="69"/>
      <c r="N20" s="69"/>
      <c r="O20" s="69"/>
      <c r="P20" s="69"/>
      <c r="Q20" s="69"/>
      <c r="R20" s="69"/>
      <c r="S20" s="69"/>
    </row>
    <row r="21" spans="1:19" x14ac:dyDescent="0.25">
      <c r="A21" s="69"/>
      <c r="B21" s="99"/>
      <c r="C21" s="77" t="s">
        <v>31</v>
      </c>
      <c r="D21" s="75"/>
      <c r="E21" s="68"/>
      <c r="F21" s="68"/>
      <c r="G21" s="68"/>
      <c r="H21" s="68"/>
      <c r="I21" s="69"/>
      <c r="J21" s="75" t="s">
        <v>18</v>
      </c>
      <c r="K21" s="69"/>
      <c r="L21" s="69"/>
      <c r="M21" s="69"/>
      <c r="N21" s="69"/>
      <c r="O21" s="69"/>
    </row>
    <row r="22" spans="1:19" ht="83.25" customHeight="1" x14ac:dyDescent="0.25">
      <c r="A22" s="69"/>
      <c r="B22" s="99"/>
      <c r="C22" s="115" t="s">
        <v>236</v>
      </c>
      <c r="D22" s="75"/>
      <c r="E22" s="75">
        <v>1550000</v>
      </c>
      <c r="F22" s="75">
        <v>1550000</v>
      </c>
      <c r="G22" s="75">
        <v>1550000</v>
      </c>
      <c r="H22" s="75">
        <v>1550000</v>
      </c>
      <c r="I22" s="69"/>
      <c r="J22" s="75">
        <f>SUM(D22:H22)</f>
        <v>6200000</v>
      </c>
      <c r="K22" s="153" t="s">
        <v>141</v>
      </c>
      <c r="L22" s="69"/>
      <c r="M22" s="240" t="s">
        <v>237</v>
      </c>
      <c r="N22" s="241"/>
      <c r="O22" s="241"/>
      <c r="P22" s="242"/>
    </row>
    <row r="23" spans="1:19" ht="124.5" customHeight="1" x14ac:dyDescent="0.25">
      <c r="A23" s="69"/>
      <c r="B23" s="99"/>
      <c r="C23" s="115" t="s">
        <v>142</v>
      </c>
      <c r="D23" s="142">
        <v>355949.99999999994</v>
      </c>
      <c r="E23" s="142">
        <v>152550</v>
      </c>
      <c r="F23" s="68"/>
      <c r="G23" s="68"/>
      <c r="H23" s="68"/>
      <c r="I23" s="69"/>
      <c r="J23" s="75">
        <f>SUM(D23:H23)</f>
        <v>508499.99999999994</v>
      </c>
      <c r="K23" s="153" t="s">
        <v>200</v>
      </c>
      <c r="L23" s="69"/>
      <c r="M23" s="151" t="s">
        <v>140</v>
      </c>
      <c r="N23" s="152" t="s">
        <v>139</v>
      </c>
      <c r="O23" s="152" t="s">
        <v>138</v>
      </c>
      <c r="P23" s="151" t="s">
        <v>137</v>
      </c>
    </row>
    <row r="24" spans="1:19" ht="82.5" customHeight="1" x14ac:dyDescent="0.25">
      <c r="A24" s="69"/>
      <c r="B24" s="99"/>
      <c r="C24" s="115" t="s">
        <v>143</v>
      </c>
      <c r="D24" s="142">
        <v>197550</v>
      </c>
      <c r="E24" s="142">
        <v>263400</v>
      </c>
      <c r="F24" s="142">
        <v>197550</v>
      </c>
      <c r="G24" s="68"/>
      <c r="H24" s="68"/>
      <c r="I24" s="69"/>
      <c r="J24" s="75">
        <f>SUM(D24:H24)</f>
        <v>658500</v>
      </c>
      <c r="K24" s="153" t="s">
        <v>201</v>
      </c>
      <c r="L24" s="143"/>
      <c r="M24" s="70" t="s">
        <v>136</v>
      </c>
      <c r="N24" s="149">
        <v>23</v>
      </c>
      <c r="O24" s="150">
        <v>55000</v>
      </c>
      <c r="P24" s="144">
        <v>1265000</v>
      </c>
    </row>
    <row r="25" spans="1:19" x14ac:dyDescent="0.25">
      <c r="A25" s="69"/>
      <c r="B25" s="99"/>
      <c r="C25" s="200" t="s">
        <v>13</v>
      </c>
      <c r="D25" s="210">
        <f>SUM(D22:D24)</f>
        <v>553500</v>
      </c>
      <c r="E25" s="210">
        <f>SUM(E22:E24)</f>
        <v>1965950</v>
      </c>
      <c r="F25" s="210">
        <f>SUM(F22:F24)</f>
        <v>1747550</v>
      </c>
      <c r="G25" s="210">
        <f>SUM(G22:G24)</f>
        <v>1550000</v>
      </c>
      <c r="H25" s="210">
        <f>SUM(H22:H24)</f>
        <v>1550000</v>
      </c>
      <c r="I25" s="69"/>
      <c r="J25" s="100">
        <f>SUM(D25:H25)</f>
        <v>7367000</v>
      </c>
      <c r="K25" s="69"/>
      <c r="L25" s="69"/>
      <c r="M25" s="70" t="s">
        <v>135</v>
      </c>
      <c r="N25" s="149">
        <v>25</v>
      </c>
      <c r="O25" s="150">
        <v>65000</v>
      </c>
      <c r="P25" s="144">
        <v>1625000</v>
      </c>
    </row>
    <row r="26" spans="1:19" ht="30" x14ac:dyDescent="0.25">
      <c r="A26" s="69"/>
      <c r="B26" s="99"/>
      <c r="C26" s="208" t="s">
        <v>203</v>
      </c>
      <c r="D26" s="209">
        <f>D25-276830</f>
        <v>276670</v>
      </c>
      <c r="E26" s="209">
        <f>E25-206246</f>
        <v>1759704</v>
      </c>
      <c r="F26" s="209">
        <f>F25-96630</f>
        <v>1650920</v>
      </c>
      <c r="G26" s="209">
        <f>SUM(G22:G24)</f>
        <v>1550000</v>
      </c>
      <c r="H26" s="209">
        <f>SUM(H22:H24)</f>
        <v>1550000</v>
      </c>
      <c r="I26" s="104"/>
      <c r="J26" s="209">
        <f>SUM(D26:H26)</f>
        <v>6787294</v>
      </c>
      <c r="K26" s="69"/>
      <c r="L26" s="69"/>
      <c r="M26" s="70"/>
      <c r="N26" s="149"/>
      <c r="O26" s="150"/>
      <c r="P26" s="144"/>
    </row>
    <row r="27" spans="1:19" x14ac:dyDescent="0.25">
      <c r="A27" s="69"/>
      <c r="B27" s="99"/>
      <c r="C27" s="77" t="s">
        <v>33</v>
      </c>
      <c r="D27" s="68" t="s">
        <v>28</v>
      </c>
      <c r="E27" s="68"/>
      <c r="F27" s="68"/>
      <c r="G27" s="68"/>
      <c r="H27" s="68"/>
      <c r="I27" s="69"/>
      <c r="J27" s="75"/>
      <c r="K27" s="69"/>
      <c r="L27" s="69"/>
      <c r="M27" s="70" t="s">
        <v>134</v>
      </c>
      <c r="N27" s="149">
        <v>4</v>
      </c>
      <c r="O27" s="150">
        <v>58000</v>
      </c>
      <c r="P27" s="144">
        <v>232000</v>
      </c>
    </row>
    <row r="28" spans="1:19" x14ac:dyDescent="0.25">
      <c r="A28" s="69"/>
      <c r="B28" s="99"/>
      <c r="C28" s="74"/>
      <c r="D28" s="75"/>
      <c r="E28" s="75"/>
      <c r="F28" s="75"/>
      <c r="G28" s="75"/>
      <c r="H28" s="75"/>
      <c r="I28" s="73"/>
      <c r="J28" s="75">
        <f>SUM(D28:H28)</f>
        <v>0</v>
      </c>
      <c r="K28" s="69"/>
      <c r="L28" s="69"/>
      <c r="M28" s="70" t="s">
        <v>133</v>
      </c>
      <c r="N28" s="149">
        <v>26</v>
      </c>
      <c r="O28" s="150">
        <v>63000</v>
      </c>
      <c r="P28" s="144">
        <v>1638000</v>
      </c>
    </row>
    <row r="29" spans="1:19" x14ac:dyDescent="0.25">
      <c r="A29" s="69"/>
      <c r="B29" s="99"/>
      <c r="C29" s="74"/>
      <c r="D29" s="75"/>
      <c r="E29" s="75"/>
      <c r="F29" s="75"/>
      <c r="G29" s="75"/>
      <c r="H29" s="75"/>
      <c r="I29" s="69"/>
      <c r="J29" s="75">
        <f>SUM(D29:H29)</f>
        <v>0</v>
      </c>
      <c r="K29" s="69"/>
      <c r="L29" s="69"/>
      <c r="M29" s="70" t="s">
        <v>132</v>
      </c>
      <c r="N29" s="149">
        <v>9</v>
      </c>
      <c r="O29" s="150">
        <v>40000</v>
      </c>
      <c r="P29" s="144">
        <v>360000</v>
      </c>
    </row>
    <row r="30" spans="1:19" x14ac:dyDescent="0.25">
      <c r="A30" s="69"/>
      <c r="B30" s="99"/>
      <c r="C30" s="76" t="s">
        <v>14</v>
      </c>
      <c r="D30" s="100">
        <f>SUM(D28:D29)</f>
        <v>0</v>
      </c>
      <c r="E30" s="100">
        <f>SUM(E28:E29)</f>
        <v>0</v>
      </c>
      <c r="F30" s="100">
        <f>SUM(F28:F29)</f>
        <v>0</v>
      </c>
      <c r="G30" s="100">
        <f>SUM(G28:G29)</f>
        <v>0</v>
      </c>
      <c r="H30" s="100">
        <f>SUM(H28:H29)</f>
        <v>0</v>
      </c>
      <c r="I30" s="69"/>
      <c r="J30" s="100">
        <f>SUM(J28:J29)</f>
        <v>0</v>
      </c>
      <c r="K30" s="69"/>
      <c r="L30" s="69"/>
      <c r="M30" s="70"/>
      <c r="N30" s="149"/>
      <c r="O30" s="150"/>
      <c r="P30" s="144"/>
    </row>
    <row r="31" spans="1:19" x14ac:dyDescent="0.25">
      <c r="A31" s="69"/>
      <c r="B31" s="99"/>
      <c r="C31" s="77" t="s">
        <v>34</v>
      </c>
      <c r="D31" s="68" t="s">
        <v>28</v>
      </c>
      <c r="E31" s="68"/>
      <c r="F31" s="68"/>
      <c r="G31" s="68"/>
      <c r="H31" s="68"/>
      <c r="I31" s="69"/>
      <c r="J31" s="75"/>
      <c r="K31" s="69"/>
      <c r="L31" s="69"/>
      <c r="M31" s="70" t="s">
        <v>131</v>
      </c>
      <c r="N31" s="149">
        <v>87</v>
      </c>
      <c r="O31" s="70" t="s">
        <v>26</v>
      </c>
      <c r="P31" s="144">
        <v>5120000</v>
      </c>
    </row>
    <row r="32" spans="1:19" ht="90.75" customHeight="1" x14ac:dyDescent="0.25">
      <c r="A32" s="69"/>
      <c r="B32" s="99"/>
      <c r="C32" s="203" t="s">
        <v>130</v>
      </c>
      <c r="D32" s="142">
        <v>1094062.5</v>
      </c>
      <c r="E32" s="142">
        <v>364687.5</v>
      </c>
      <c r="F32" s="75"/>
      <c r="G32" s="75"/>
      <c r="H32" s="75"/>
      <c r="I32" s="73"/>
      <c r="J32" s="75">
        <f>SUM(D32:H32)</f>
        <v>1458750</v>
      </c>
      <c r="K32" s="153" t="s">
        <v>129</v>
      </c>
      <c r="L32" s="69"/>
      <c r="M32" s="69"/>
      <c r="N32" s="69"/>
      <c r="O32" s="69"/>
      <c r="P32" s="204"/>
    </row>
    <row r="33" spans="1:19" ht="71.25" customHeight="1" x14ac:dyDescent="0.25">
      <c r="A33" s="69"/>
      <c r="B33" s="99"/>
      <c r="C33" s="203" t="s">
        <v>60</v>
      </c>
      <c r="D33" s="142">
        <v>656437.5</v>
      </c>
      <c r="E33" s="142">
        <v>1312875</v>
      </c>
      <c r="F33" s="142">
        <v>656437.5</v>
      </c>
      <c r="G33" s="75"/>
      <c r="H33" s="75"/>
      <c r="I33" s="73"/>
      <c r="J33" s="75">
        <f>SUM(D33:H33)</f>
        <v>2625750</v>
      </c>
      <c r="K33" s="153" t="s">
        <v>128</v>
      </c>
      <c r="L33" s="69"/>
      <c r="M33" s="69"/>
      <c r="N33" s="69"/>
      <c r="O33" s="69"/>
      <c r="P33" s="204"/>
      <c r="R33" s="204"/>
      <c r="S33" s="69"/>
    </row>
    <row r="34" spans="1:19" ht="54.75" customHeight="1" x14ac:dyDescent="0.25">
      <c r="A34" s="69"/>
      <c r="B34" s="99"/>
      <c r="C34" s="203" t="s">
        <v>144</v>
      </c>
      <c r="D34" s="142">
        <v>116700</v>
      </c>
      <c r="E34" s="142">
        <v>116700</v>
      </c>
      <c r="F34" s="142">
        <v>116700</v>
      </c>
      <c r="G34" s="142">
        <v>116700</v>
      </c>
      <c r="H34" s="142">
        <v>116700</v>
      </c>
      <c r="I34" s="73"/>
      <c r="J34" s="75">
        <f>SUM(D34:H34)</f>
        <v>583500</v>
      </c>
      <c r="K34" s="138"/>
      <c r="L34" s="69"/>
      <c r="M34" s="69"/>
      <c r="N34" s="69"/>
      <c r="O34" s="69"/>
      <c r="P34" s="69"/>
      <c r="Q34" s="69"/>
      <c r="R34" s="69"/>
      <c r="S34" s="69"/>
    </row>
    <row r="35" spans="1:19" ht="116.25" customHeight="1" x14ac:dyDescent="0.25">
      <c r="A35" s="69"/>
      <c r="B35" s="99"/>
      <c r="C35" s="203" t="s">
        <v>127</v>
      </c>
      <c r="D35" s="75"/>
      <c r="E35" s="75">
        <v>50000</v>
      </c>
      <c r="F35" s="75">
        <v>20000</v>
      </c>
      <c r="G35" s="75">
        <v>10000</v>
      </c>
      <c r="H35" s="75">
        <v>10000</v>
      </c>
      <c r="I35" s="69"/>
      <c r="J35" s="75">
        <f>SUM(D35:H35)</f>
        <v>90000</v>
      </c>
      <c r="K35" s="153" t="s">
        <v>145</v>
      </c>
      <c r="L35" s="69"/>
      <c r="M35" s="69"/>
      <c r="N35" s="69"/>
      <c r="O35" s="69"/>
      <c r="P35" s="69"/>
      <c r="Q35" s="69"/>
      <c r="R35" s="69"/>
      <c r="S35" s="69"/>
    </row>
    <row r="36" spans="1:19" x14ac:dyDescent="0.25">
      <c r="A36" s="69"/>
      <c r="B36" s="99"/>
      <c r="C36" s="76" t="s">
        <v>15</v>
      </c>
      <c r="D36" s="100">
        <f>SUM(D32:D35)</f>
        <v>1867200</v>
      </c>
      <c r="E36" s="100">
        <f t="shared" ref="E36:H36" si="0">SUM(E32:E35)</f>
        <v>1844262.5</v>
      </c>
      <c r="F36" s="100">
        <f>SUM(F32:F35)</f>
        <v>793137.5</v>
      </c>
      <c r="G36" s="100">
        <f t="shared" si="0"/>
        <v>126700</v>
      </c>
      <c r="H36" s="100">
        <f t="shared" si="0"/>
        <v>126700</v>
      </c>
      <c r="I36" s="69"/>
      <c r="J36" s="100">
        <f>SUM(D36:H36)</f>
        <v>4758000</v>
      </c>
      <c r="K36" s="69"/>
      <c r="L36" s="69"/>
      <c r="M36" s="69"/>
      <c r="N36" s="69"/>
      <c r="O36" s="69"/>
      <c r="P36" s="69"/>
      <c r="Q36" s="69"/>
      <c r="R36" s="69"/>
      <c r="S36" s="69"/>
    </row>
    <row r="37" spans="1:19" x14ac:dyDescent="0.25">
      <c r="A37" s="69"/>
      <c r="B37" s="99"/>
      <c r="C37" s="77" t="s">
        <v>35</v>
      </c>
      <c r="D37" s="68" t="s">
        <v>28</v>
      </c>
      <c r="E37" s="68"/>
      <c r="F37" s="68"/>
      <c r="G37" s="68"/>
      <c r="H37" s="68"/>
      <c r="I37" s="69"/>
      <c r="J37" s="75"/>
      <c r="K37" s="69"/>
      <c r="L37" s="69"/>
      <c r="M37" s="69"/>
      <c r="N37" s="69"/>
      <c r="O37" s="69"/>
      <c r="P37" s="69"/>
      <c r="Q37" s="69"/>
      <c r="R37" s="69"/>
      <c r="S37" s="69"/>
    </row>
    <row r="38" spans="1:19" ht="30" x14ac:dyDescent="0.25">
      <c r="A38" s="69"/>
      <c r="B38" s="99"/>
      <c r="C38" s="74" t="s">
        <v>185</v>
      </c>
      <c r="D38" s="142">
        <v>175050</v>
      </c>
      <c r="E38" s="142">
        <v>175050</v>
      </c>
      <c r="F38" s="142">
        <v>175050</v>
      </c>
      <c r="G38" s="142">
        <v>175050</v>
      </c>
      <c r="H38" s="142">
        <v>175050</v>
      </c>
      <c r="I38" s="69"/>
      <c r="J38" s="75">
        <f t="shared" ref="J38:J42" si="1">SUM(D38:H38)</f>
        <v>875250</v>
      </c>
      <c r="K38" s="69"/>
      <c r="L38" s="69"/>
      <c r="M38" s="69"/>
      <c r="N38" s="69"/>
      <c r="O38" s="69"/>
      <c r="P38" s="69"/>
      <c r="Q38" s="69"/>
      <c r="R38" s="69"/>
      <c r="S38" s="69"/>
    </row>
    <row r="39" spans="1:19" ht="30" x14ac:dyDescent="0.25">
      <c r="A39" s="69"/>
      <c r="B39" s="99"/>
      <c r="C39" s="74" t="s">
        <v>186</v>
      </c>
      <c r="D39" s="144">
        <v>233400</v>
      </c>
      <c r="E39" s="144">
        <v>233400</v>
      </c>
      <c r="F39" s="145">
        <v>233400</v>
      </c>
      <c r="G39" s="145">
        <v>233400</v>
      </c>
      <c r="H39" s="145">
        <v>233400</v>
      </c>
      <c r="I39" s="69"/>
      <c r="J39" s="75">
        <f t="shared" si="1"/>
        <v>1167000</v>
      </c>
      <c r="K39" s="69"/>
      <c r="L39" s="69"/>
      <c r="M39" s="69"/>
      <c r="N39" s="69"/>
      <c r="O39" s="69"/>
      <c r="P39" s="69"/>
      <c r="Q39" s="69"/>
      <c r="R39" s="69"/>
      <c r="S39" s="69"/>
    </row>
    <row r="40" spans="1:19" x14ac:dyDescent="0.25">
      <c r="A40" s="69"/>
      <c r="B40" s="99"/>
      <c r="C40" s="74"/>
      <c r="D40" s="75"/>
      <c r="E40" s="75"/>
      <c r="F40" s="75"/>
      <c r="G40" s="75"/>
      <c r="H40" s="75"/>
      <c r="I40" s="69"/>
      <c r="J40" s="75">
        <f t="shared" si="1"/>
        <v>0</v>
      </c>
      <c r="K40" s="69"/>
      <c r="L40" s="69"/>
      <c r="M40" s="69"/>
      <c r="N40" s="69"/>
      <c r="O40" s="69"/>
      <c r="P40" s="69"/>
      <c r="Q40" s="69"/>
      <c r="R40" s="69"/>
      <c r="S40" s="69"/>
    </row>
    <row r="41" spans="1:19" x14ac:dyDescent="0.25">
      <c r="A41" s="69"/>
      <c r="B41" s="105"/>
      <c r="C41" s="76" t="s">
        <v>16</v>
      </c>
      <c r="D41" s="100">
        <f>SUM(D38:D40)</f>
        <v>408450</v>
      </c>
      <c r="E41" s="100">
        <f>SUM(E38:E40)</f>
        <v>408450</v>
      </c>
      <c r="F41" s="100">
        <f>SUM(F38:F40)</f>
        <v>408450</v>
      </c>
      <c r="G41" s="100">
        <f>SUM(G38:G40)</f>
        <v>408450</v>
      </c>
      <c r="H41" s="100">
        <f>SUM(H38:H40)</f>
        <v>408450</v>
      </c>
      <c r="I41" s="69"/>
      <c r="J41" s="100">
        <f t="shared" si="1"/>
        <v>2042250</v>
      </c>
      <c r="K41" s="69"/>
      <c r="L41" s="69"/>
      <c r="M41" s="69"/>
      <c r="N41" s="69"/>
      <c r="O41" s="69"/>
      <c r="P41" s="69"/>
      <c r="Q41" s="69"/>
      <c r="R41" s="69"/>
      <c r="S41" s="69"/>
    </row>
    <row r="42" spans="1:19" x14ac:dyDescent="0.25">
      <c r="A42" s="69"/>
      <c r="B42" s="105"/>
      <c r="C42" s="200" t="s">
        <v>17</v>
      </c>
      <c r="D42" s="201">
        <f>SUM(D41,D36,D30,D25,D20,D16,D11)</f>
        <v>2829150</v>
      </c>
      <c r="E42" s="201">
        <f>SUM(E41,E36,E30,E25,E20,E16,E11)</f>
        <v>4218662.5</v>
      </c>
      <c r="F42" s="201">
        <f>SUM(F41,F36,F30,F25,F20,F16,F11)</f>
        <v>2949137.5</v>
      </c>
      <c r="G42" s="201">
        <f>SUM(G41,G36,G30,G25,G20,G16,G11)</f>
        <v>2085150</v>
      </c>
      <c r="H42" s="201">
        <f>SUM(H41,H36,H30,H25,H20,H16,H11)</f>
        <v>2085150</v>
      </c>
      <c r="I42" s="69"/>
      <c r="J42" s="201">
        <f t="shared" si="1"/>
        <v>14167250</v>
      </c>
      <c r="K42" s="69"/>
      <c r="L42" s="69"/>
      <c r="M42" s="69"/>
      <c r="N42" s="69"/>
      <c r="O42" s="69"/>
      <c r="P42" s="69"/>
      <c r="Q42" s="69"/>
      <c r="R42" s="69"/>
      <c r="S42" s="69"/>
    </row>
    <row r="43" spans="1:19" x14ac:dyDescent="0.25">
      <c r="A43" s="69"/>
      <c r="B43" s="212"/>
      <c r="C43" s="208" t="s">
        <v>235</v>
      </c>
      <c r="D43" s="209">
        <f>D42-276830</f>
        <v>2552320</v>
      </c>
      <c r="E43" s="209">
        <f>E42-206246</f>
        <v>4012416.5</v>
      </c>
      <c r="F43" s="209">
        <f>F42-96630</f>
        <v>2852507.5</v>
      </c>
      <c r="G43" s="209">
        <f>G42</f>
        <v>2085150</v>
      </c>
      <c r="H43" s="209">
        <f>H42</f>
        <v>2085150</v>
      </c>
      <c r="I43" s="213"/>
      <c r="J43" s="209">
        <f>SUM(D43:H43)</f>
        <v>13587544</v>
      </c>
      <c r="K43" s="73"/>
      <c r="L43" s="69"/>
      <c r="M43" s="69"/>
      <c r="N43" s="69"/>
      <c r="O43" s="69"/>
      <c r="P43" s="69"/>
      <c r="Q43" s="69"/>
      <c r="R43" s="69"/>
      <c r="S43" s="69"/>
    </row>
    <row r="44" spans="1:19" x14ac:dyDescent="0.25">
      <c r="A44" s="69"/>
      <c r="B44" s="87"/>
      <c r="C44" s="69"/>
      <c r="D44" s="73"/>
      <c r="E44" s="73"/>
      <c r="F44" s="73"/>
      <c r="G44" s="73"/>
      <c r="H44" s="73"/>
      <c r="I44" s="69"/>
      <c r="J44" s="69" t="s">
        <v>18</v>
      </c>
      <c r="K44" s="69"/>
      <c r="L44" s="69"/>
      <c r="M44" s="69"/>
      <c r="N44" s="69"/>
      <c r="O44" s="69"/>
      <c r="P44" s="69"/>
      <c r="Q44" s="69"/>
      <c r="R44" s="69"/>
      <c r="S44" s="69"/>
    </row>
    <row r="45" spans="1:19" ht="30" x14ac:dyDescent="0.25">
      <c r="A45" s="69"/>
      <c r="B45" s="98" t="s">
        <v>36</v>
      </c>
      <c r="C45" s="78" t="s">
        <v>36</v>
      </c>
      <c r="D45" s="70"/>
      <c r="E45" s="70"/>
      <c r="F45" s="70"/>
      <c r="G45" s="70"/>
      <c r="H45" s="70"/>
      <c r="I45" s="69"/>
      <c r="J45" s="70" t="s">
        <v>18</v>
      </c>
      <c r="K45" s="69"/>
      <c r="L45" s="69"/>
      <c r="M45" s="69"/>
      <c r="N45" s="69"/>
      <c r="O45" s="69"/>
      <c r="P45" s="69"/>
      <c r="Q45" s="69"/>
      <c r="R45" s="69"/>
      <c r="S45" s="69"/>
    </row>
    <row r="46" spans="1:19" x14ac:dyDescent="0.25">
      <c r="A46" s="69"/>
      <c r="B46" s="99"/>
      <c r="C46" s="74"/>
      <c r="D46" s="68"/>
      <c r="E46" s="68"/>
      <c r="F46" s="68"/>
      <c r="G46" s="68"/>
      <c r="H46" s="68"/>
      <c r="I46" s="69"/>
      <c r="J46" s="75">
        <f>SUM(D46:H46)</f>
        <v>0</v>
      </c>
      <c r="K46" s="69"/>
      <c r="L46" s="69"/>
      <c r="M46" s="69"/>
      <c r="N46" s="69"/>
      <c r="O46" s="69"/>
      <c r="P46" s="69"/>
      <c r="Q46" s="69"/>
      <c r="R46" s="69"/>
      <c r="S46" s="69"/>
    </row>
    <row r="47" spans="1:19" x14ac:dyDescent="0.25">
      <c r="A47" s="69"/>
      <c r="B47" s="99"/>
      <c r="C47" s="74"/>
      <c r="D47" s="68"/>
      <c r="E47" s="68"/>
      <c r="F47" s="68"/>
      <c r="G47" s="68"/>
      <c r="H47" s="68"/>
      <c r="I47" s="69"/>
      <c r="J47" s="75">
        <f>SUM(D47:H47)</f>
        <v>0</v>
      </c>
      <c r="K47" s="69"/>
      <c r="L47" s="69"/>
      <c r="M47" s="69"/>
      <c r="N47" s="69"/>
      <c r="O47" s="69"/>
      <c r="P47" s="69"/>
      <c r="Q47" s="69"/>
      <c r="R47" s="69"/>
      <c r="S47" s="69"/>
    </row>
    <row r="48" spans="1:19" x14ac:dyDescent="0.25">
      <c r="A48" s="69"/>
      <c r="B48" s="105"/>
      <c r="C48" s="76" t="s">
        <v>19</v>
      </c>
      <c r="D48" s="100">
        <f>SUM(D46:D47)</f>
        <v>0</v>
      </c>
      <c r="E48" s="100">
        <f>SUM(E46:E47)</f>
        <v>0</v>
      </c>
      <c r="F48" s="100">
        <f>SUM(F46:F47)</f>
        <v>0</v>
      </c>
      <c r="G48" s="100">
        <f>SUM(G46:G47)</f>
        <v>0</v>
      </c>
      <c r="H48" s="100">
        <f>SUM(H46:H47)</f>
        <v>0</v>
      </c>
      <c r="I48" s="69"/>
      <c r="J48" s="100">
        <f>SUM(J46:J47)</f>
        <v>0</v>
      </c>
      <c r="K48" s="69"/>
      <c r="L48" s="69"/>
      <c r="M48" s="69"/>
      <c r="N48" s="69"/>
      <c r="O48" s="69"/>
      <c r="P48" s="69"/>
      <c r="Q48" s="69"/>
      <c r="R48" s="69"/>
      <c r="S48" s="69"/>
    </row>
    <row r="49" spans="1:19" ht="15.75" thickBot="1" x14ac:dyDescent="0.3">
      <c r="A49" s="69"/>
      <c r="B49" s="87"/>
      <c r="C49" s="69"/>
      <c r="D49" s="69"/>
      <c r="E49" s="69"/>
      <c r="F49" s="69"/>
      <c r="G49" s="69"/>
      <c r="H49" s="69"/>
      <c r="I49" s="69"/>
      <c r="J49" s="69" t="s">
        <v>18</v>
      </c>
      <c r="K49" s="69"/>
      <c r="L49" s="69"/>
      <c r="M49" s="69"/>
      <c r="N49" s="69"/>
      <c r="O49" s="69"/>
      <c r="P49" s="69"/>
      <c r="Q49" s="69"/>
      <c r="R49" s="69"/>
      <c r="S49" s="69"/>
    </row>
    <row r="50" spans="1:19" s="1" customFormat="1" ht="30.75" thickBot="1" x14ac:dyDescent="0.3">
      <c r="A50" s="107"/>
      <c r="B50" s="165" t="s">
        <v>20</v>
      </c>
      <c r="C50" s="205"/>
      <c r="D50" s="205">
        <f>SUM(D48,D42)</f>
        <v>2829150</v>
      </c>
      <c r="E50" s="205">
        <f>SUM(E48,E42)</f>
        <v>4218662.5</v>
      </c>
      <c r="F50" s="205">
        <f>SUM(F48,F42)</f>
        <v>2949137.5</v>
      </c>
      <c r="G50" s="205">
        <f>SUM(G48,G42)</f>
        <v>2085150</v>
      </c>
      <c r="H50" s="205">
        <f>SUM(H48,H42)</f>
        <v>2085150</v>
      </c>
      <c r="I50" s="69"/>
      <c r="J50" s="205">
        <f>SUM(J48,J42)</f>
        <v>14167250</v>
      </c>
      <c r="K50" s="107"/>
      <c r="L50" s="107"/>
      <c r="M50" s="107"/>
      <c r="N50" s="107"/>
      <c r="O50" s="107"/>
      <c r="P50" s="107"/>
      <c r="Q50" s="107"/>
      <c r="R50" s="107"/>
      <c r="S50" s="107"/>
    </row>
    <row r="51" spans="1:19" ht="15.75" thickBot="1" x14ac:dyDescent="0.3">
      <c r="A51" s="69"/>
      <c r="B51" s="243" t="s">
        <v>202</v>
      </c>
      <c r="C51" s="244"/>
      <c r="D51" s="206">
        <f>D43</f>
        <v>2552320</v>
      </c>
      <c r="E51" s="206">
        <f t="shared" ref="E51:H51" si="2">E43</f>
        <v>4012416.5</v>
      </c>
      <c r="F51" s="206">
        <f t="shared" si="2"/>
        <v>2852507.5</v>
      </c>
      <c r="G51" s="206">
        <f t="shared" si="2"/>
        <v>2085150</v>
      </c>
      <c r="H51" s="206">
        <f t="shared" si="2"/>
        <v>2085150</v>
      </c>
      <c r="I51" s="207"/>
      <c r="J51" s="211">
        <f>SUM(D51:H51)</f>
        <v>13587544</v>
      </c>
      <c r="K51" s="69"/>
      <c r="L51" s="69"/>
      <c r="M51" s="69"/>
      <c r="N51" s="69"/>
      <c r="O51" s="69"/>
      <c r="P51" s="69"/>
      <c r="Q51" s="69"/>
      <c r="R51" s="69"/>
      <c r="S51" s="69"/>
    </row>
    <row r="52" spans="1:19" x14ac:dyDescent="0.25">
      <c r="A52" s="69"/>
      <c r="D52" s="87"/>
      <c r="E52" s="88"/>
      <c r="F52" s="69"/>
      <c r="G52" s="69"/>
      <c r="H52" s="88"/>
      <c r="I52" s="69"/>
      <c r="J52" s="69"/>
      <c r="K52" s="69"/>
      <c r="L52" s="69"/>
      <c r="M52" s="69"/>
      <c r="N52" s="69"/>
      <c r="O52" s="69"/>
      <c r="P52" s="69"/>
      <c r="Q52" s="69"/>
      <c r="R52" s="69"/>
      <c r="S52" s="69"/>
    </row>
    <row r="54" spans="1:19" x14ac:dyDescent="0.25">
      <c r="B54" s="87"/>
      <c r="C54" s="69"/>
    </row>
    <row r="55" spans="1:19" x14ac:dyDescent="0.25">
      <c r="B55" s="6"/>
    </row>
    <row r="56" spans="1:19" x14ac:dyDescent="0.25">
      <c r="B56" s="6"/>
    </row>
    <row r="57" spans="1:19" x14ac:dyDescent="0.25">
      <c r="B57" s="6"/>
    </row>
    <row r="58" spans="1:19" x14ac:dyDescent="0.25">
      <c r="B58" s="6"/>
    </row>
    <row r="59" spans="1:19" x14ac:dyDescent="0.25">
      <c r="B59" s="6"/>
    </row>
    <row r="60" spans="1:19" x14ac:dyDescent="0.25">
      <c r="B60" s="6"/>
    </row>
  </sheetData>
  <mergeCells count="2">
    <mergeCell ref="M22:P22"/>
    <mergeCell ref="B51:C51"/>
  </mergeCells>
  <pageMargins left="0.7" right="0.7" top="0.75" bottom="0.75" header="0.3" footer="0.3"/>
  <pageSetup scale="9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2:AM68"/>
  <sheetViews>
    <sheetView showGridLines="0" topLeftCell="A34" zoomScale="85" zoomScaleNormal="85" workbookViewId="0">
      <selection activeCell="K16" sqref="K16"/>
    </sheetView>
  </sheetViews>
  <sheetFormatPr defaultColWidth="9.140625" defaultRowHeight="15" x14ac:dyDescent="0.25"/>
  <cols>
    <col min="1" max="1" width="3.140625" customWidth="1"/>
    <col min="2" max="2" width="10.140625" customWidth="1"/>
    <col min="3" max="3" width="35.4257812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2.85546875" customWidth="1"/>
    <col min="11" max="11" width="14.5703125" customWidth="1"/>
  </cols>
  <sheetData>
    <row r="2" spans="2:39" ht="23.25" x14ac:dyDescent="0.35">
      <c r="B2" s="20" t="s">
        <v>146</v>
      </c>
    </row>
    <row r="3" spans="2:39" x14ac:dyDescent="0.25">
      <c r="B3" s="5"/>
    </row>
    <row r="4" spans="2:39" x14ac:dyDescent="0.25">
      <c r="B4" s="5"/>
    </row>
    <row r="5" spans="2:39" ht="18.75" x14ac:dyDescent="0.3">
      <c r="B5" s="26" t="s">
        <v>0</v>
      </c>
      <c r="C5" s="27"/>
      <c r="D5" s="27"/>
      <c r="E5" s="27"/>
      <c r="F5" s="27"/>
      <c r="G5" s="27"/>
      <c r="H5" s="27"/>
      <c r="I5" s="27"/>
      <c r="J5" s="28"/>
    </row>
    <row r="6" spans="2:39" ht="30" x14ac:dyDescent="0.25">
      <c r="B6" s="29" t="s">
        <v>1</v>
      </c>
      <c r="C6" s="29" t="s">
        <v>2</v>
      </c>
      <c r="D6" s="29" t="s">
        <v>3</v>
      </c>
      <c r="E6" s="30" t="s">
        <v>4</v>
      </c>
      <c r="F6" s="30" t="s">
        <v>5</v>
      </c>
      <c r="G6" s="30" t="s">
        <v>6</v>
      </c>
      <c r="H6" s="31" t="s">
        <v>7</v>
      </c>
      <c r="I6" s="32"/>
      <c r="J6" s="33" t="s">
        <v>8</v>
      </c>
    </row>
    <row r="7" spans="2:39" s="5" customFormat="1" ht="30" x14ac:dyDescent="0.25">
      <c r="B7" s="50" t="s">
        <v>9</v>
      </c>
      <c r="C7" s="67" t="s">
        <v>27</v>
      </c>
      <c r="D7" s="68" t="s">
        <v>28</v>
      </c>
      <c r="E7" s="68" t="s">
        <v>28</v>
      </c>
      <c r="F7" s="68" t="s">
        <v>28</v>
      </c>
      <c r="G7" s="68"/>
      <c r="H7" s="68" t="s">
        <v>28</v>
      </c>
      <c r="I7" s="69"/>
      <c r="J7" s="70" t="s">
        <v>28</v>
      </c>
      <c r="K7"/>
      <c r="L7"/>
      <c r="M7"/>
      <c r="N7"/>
      <c r="O7"/>
      <c r="P7"/>
      <c r="Q7"/>
      <c r="R7"/>
      <c r="S7"/>
      <c r="T7"/>
      <c r="U7"/>
      <c r="V7"/>
      <c r="W7"/>
      <c r="X7"/>
      <c r="Y7"/>
      <c r="Z7"/>
      <c r="AA7"/>
      <c r="AB7"/>
      <c r="AC7"/>
      <c r="AD7"/>
      <c r="AE7"/>
      <c r="AF7"/>
      <c r="AG7"/>
      <c r="AH7"/>
      <c r="AI7"/>
      <c r="AJ7"/>
      <c r="AK7"/>
      <c r="AL7"/>
      <c r="AM7"/>
    </row>
    <row r="8" spans="2:39" ht="30" x14ac:dyDescent="0.25">
      <c r="B8" s="17"/>
      <c r="C8" s="74" t="s">
        <v>89</v>
      </c>
      <c r="D8" s="75">
        <v>45000</v>
      </c>
      <c r="E8" s="75">
        <f>0.05*D8+45000</f>
        <v>47250</v>
      </c>
      <c r="F8" s="75">
        <f>0.05*E8+47250</f>
        <v>49612.5</v>
      </c>
      <c r="G8" s="75">
        <f>0.05*F8+49613</f>
        <v>52093.625</v>
      </c>
      <c r="H8" s="75">
        <f>0.05*G8+52094</f>
        <v>54698.681250000001</v>
      </c>
      <c r="I8" s="73"/>
      <c r="J8" s="75">
        <f>SUM(D8:H8)</f>
        <v>248654.80624999999</v>
      </c>
    </row>
    <row r="9" spans="2:39" ht="30" x14ac:dyDescent="0.25">
      <c r="B9" s="17"/>
      <c r="C9" s="74" t="s">
        <v>90</v>
      </c>
      <c r="D9" s="75">
        <v>35000</v>
      </c>
      <c r="E9" s="75">
        <f>0.05*D9+35000</f>
        <v>36750</v>
      </c>
      <c r="F9" s="75">
        <f>0.05*E9+36750</f>
        <v>38587.5</v>
      </c>
      <c r="G9" s="75">
        <f>0.05*F9+38588</f>
        <v>40517.375</v>
      </c>
      <c r="H9" s="75">
        <f>0.05*G9+40517</f>
        <v>42542.868750000001</v>
      </c>
      <c r="I9" s="69"/>
      <c r="J9" s="75">
        <f>SUM(D9:H9)</f>
        <v>193397.74374999999</v>
      </c>
    </row>
    <row r="10" spans="2:39" x14ac:dyDescent="0.25">
      <c r="B10" s="17"/>
      <c r="C10" s="74"/>
      <c r="D10" s="75"/>
      <c r="E10" s="75"/>
      <c r="F10" s="75"/>
      <c r="G10" s="75"/>
      <c r="H10" s="75"/>
      <c r="I10" s="69"/>
      <c r="J10" s="75">
        <f>SUM(D10:H10)</f>
        <v>0</v>
      </c>
    </row>
    <row r="11" spans="2:39" x14ac:dyDescent="0.25">
      <c r="B11" s="17"/>
      <c r="C11" s="76" t="s">
        <v>10</v>
      </c>
      <c r="D11" s="100">
        <f>SUM(D8:D10)</f>
        <v>80000</v>
      </c>
      <c r="E11" s="100">
        <f t="shared" ref="E11:H11" si="0">SUM(E8:E10)</f>
        <v>84000</v>
      </c>
      <c r="F11" s="100">
        <f t="shared" si="0"/>
        <v>88200</v>
      </c>
      <c r="G11" s="100">
        <f t="shared" si="0"/>
        <v>92611</v>
      </c>
      <c r="H11" s="100">
        <f t="shared" si="0"/>
        <v>97241.55</v>
      </c>
      <c r="I11" s="69"/>
      <c r="J11" s="100">
        <f>SUM(J8:J10)</f>
        <v>442052.55</v>
      </c>
      <c r="K11" s="24"/>
    </row>
    <row r="12" spans="2:39" x14ac:dyDescent="0.25">
      <c r="B12" s="17"/>
      <c r="C12" s="77" t="s">
        <v>29</v>
      </c>
      <c r="D12" s="68" t="s">
        <v>28</v>
      </c>
      <c r="E12" s="68"/>
      <c r="F12" s="68"/>
      <c r="G12" s="68"/>
      <c r="H12" s="68"/>
      <c r="I12" s="69"/>
      <c r="J12" s="70" t="s">
        <v>28</v>
      </c>
    </row>
    <row r="13" spans="2:39" ht="30" x14ac:dyDescent="0.25">
      <c r="B13" s="17"/>
      <c r="C13" s="74" t="s">
        <v>91</v>
      </c>
      <c r="D13" s="75">
        <f>0.18*(D8+D9)</f>
        <v>14400</v>
      </c>
      <c r="E13" s="75">
        <f>0.18*(E8+E9)</f>
        <v>15120</v>
      </c>
      <c r="F13" s="75">
        <f>0.18*(F8+F9)</f>
        <v>15876</v>
      </c>
      <c r="G13" s="75">
        <f>0.18*(G8+G9)</f>
        <v>16669.98</v>
      </c>
      <c r="H13" s="75">
        <f>0.18*(H8+H9)</f>
        <v>17503.478999999999</v>
      </c>
      <c r="I13" s="69"/>
      <c r="J13" s="75">
        <f>SUM(D13:H13)</f>
        <v>79569.459000000003</v>
      </c>
    </row>
    <row r="14" spans="2:39" x14ac:dyDescent="0.25">
      <c r="B14" s="17"/>
      <c r="C14" s="74"/>
      <c r="D14" s="75"/>
      <c r="E14" s="75"/>
      <c r="F14" s="75"/>
      <c r="G14" s="75"/>
      <c r="H14" s="75"/>
      <c r="I14" s="69"/>
      <c r="J14" s="75">
        <f t="shared" ref="J14:J15" si="1">SUM(D14:H14)</f>
        <v>0</v>
      </c>
    </row>
    <row r="15" spans="2:39" x14ac:dyDescent="0.25">
      <c r="B15" s="17"/>
      <c r="C15" s="68"/>
      <c r="D15" s="75"/>
      <c r="E15" s="75"/>
      <c r="F15" s="75"/>
      <c r="G15" s="75"/>
      <c r="H15" s="75"/>
      <c r="I15" s="69"/>
      <c r="J15" s="75">
        <f t="shared" si="1"/>
        <v>0</v>
      </c>
    </row>
    <row r="16" spans="2:39" x14ac:dyDescent="0.25">
      <c r="B16" s="17"/>
      <c r="C16" s="76" t="s">
        <v>11</v>
      </c>
      <c r="D16" s="100">
        <f>SUM(D13:D15)</f>
        <v>14400</v>
      </c>
      <c r="E16" s="100">
        <f t="shared" ref="E16:J16" si="2">SUM(E13:E15)</f>
        <v>15120</v>
      </c>
      <c r="F16" s="100">
        <f t="shared" si="2"/>
        <v>15876</v>
      </c>
      <c r="G16" s="100">
        <f t="shared" si="2"/>
        <v>16669.98</v>
      </c>
      <c r="H16" s="100">
        <f t="shared" si="2"/>
        <v>17503.478999999999</v>
      </c>
      <c r="I16" s="69"/>
      <c r="J16" s="100">
        <f t="shared" si="2"/>
        <v>79569.459000000003</v>
      </c>
      <c r="K16" s="24"/>
    </row>
    <row r="17" spans="2:18" x14ac:dyDescent="0.25">
      <c r="B17" s="17"/>
      <c r="C17" s="77" t="s">
        <v>30</v>
      </c>
      <c r="D17" s="68" t="s">
        <v>28</v>
      </c>
      <c r="E17" s="68"/>
      <c r="F17" s="68"/>
      <c r="G17" s="68"/>
      <c r="H17" s="68"/>
      <c r="I17" s="69"/>
      <c r="J17" s="70" t="s">
        <v>28</v>
      </c>
    </row>
    <row r="18" spans="2:18" x14ac:dyDescent="0.25">
      <c r="B18" s="17"/>
      <c r="C18" s="101"/>
      <c r="D18" s="75"/>
      <c r="E18" s="75"/>
      <c r="F18" s="75"/>
      <c r="G18" s="75"/>
      <c r="H18" s="75"/>
      <c r="I18" s="69"/>
      <c r="J18" s="75">
        <f>SUM(D18:H18)</f>
        <v>0</v>
      </c>
    </row>
    <row r="19" spans="2:18" x14ac:dyDescent="0.25">
      <c r="B19" s="17"/>
      <c r="C19" s="101"/>
      <c r="D19" s="75"/>
      <c r="E19" s="75"/>
      <c r="F19" s="75"/>
      <c r="G19" s="75"/>
      <c r="H19" s="75"/>
      <c r="I19" s="73"/>
      <c r="J19" s="75">
        <f>SUM(D19:H19)</f>
        <v>0</v>
      </c>
    </row>
    <row r="20" spans="2:18" x14ac:dyDescent="0.25">
      <c r="B20" s="17"/>
      <c r="C20" s="101"/>
      <c r="D20" s="75"/>
      <c r="E20" s="75"/>
      <c r="F20" s="75"/>
      <c r="G20" s="75"/>
      <c r="H20" s="75"/>
      <c r="I20" s="73"/>
      <c r="J20" s="75">
        <f t="shared" ref="J20:J25" si="3">SUM(D20:H20)</f>
        <v>0</v>
      </c>
    </row>
    <row r="21" spans="2:18" x14ac:dyDescent="0.25">
      <c r="B21" s="17"/>
      <c r="C21" s="74"/>
      <c r="D21" s="75"/>
      <c r="E21" s="75"/>
      <c r="F21" s="75"/>
      <c r="G21" s="75"/>
      <c r="H21" s="75"/>
      <c r="I21" s="73"/>
      <c r="J21" s="75">
        <f t="shared" si="3"/>
        <v>0</v>
      </c>
    </row>
    <row r="22" spans="2:18" x14ac:dyDescent="0.25">
      <c r="B22" s="17"/>
      <c r="C22" s="101"/>
      <c r="D22" s="75"/>
      <c r="E22" s="75"/>
      <c r="F22" s="75"/>
      <c r="G22" s="75"/>
      <c r="H22" s="75"/>
      <c r="I22" s="73"/>
      <c r="J22" s="75">
        <f t="shared" si="3"/>
        <v>0</v>
      </c>
    </row>
    <row r="23" spans="2:18" x14ac:dyDescent="0.25">
      <c r="B23" s="17"/>
      <c r="C23" s="101"/>
      <c r="D23" s="75"/>
      <c r="E23" s="75"/>
      <c r="F23" s="75"/>
      <c r="G23" s="75"/>
      <c r="H23" s="75"/>
      <c r="I23" s="73"/>
      <c r="J23" s="75">
        <f t="shared" si="3"/>
        <v>0</v>
      </c>
    </row>
    <row r="24" spans="2:18" x14ac:dyDescent="0.25">
      <c r="B24" s="17"/>
      <c r="C24" s="101"/>
      <c r="D24" s="75"/>
      <c r="E24" s="75"/>
      <c r="F24" s="75"/>
      <c r="G24" s="75"/>
      <c r="H24" s="75"/>
      <c r="I24" s="73"/>
      <c r="J24" s="75">
        <f t="shared" si="3"/>
        <v>0</v>
      </c>
    </row>
    <row r="25" spans="2:18" x14ac:dyDescent="0.25">
      <c r="B25" s="17"/>
      <c r="C25" s="74"/>
      <c r="D25" s="75"/>
      <c r="E25" s="75"/>
      <c r="F25" s="75"/>
      <c r="G25" s="75"/>
      <c r="H25" s="75"/>
      <c r="I25" s="73"/>
      <c r="J25" s="75">
        <f t="shared" si="3"/>
        <v>0</v>
      </c>
    </row>
    <row r="26" spans="2:18" x14ac:dyDescent="0.25">
      <c r="B26" s="17"/>
      <c r="C26" s="76" t="s">
        <v>12</v>
      </c>
      <c r="D26" s="100">
        <f>SUM(D19:D25)</f>
        <v>0</v>
      </c>
      <c r="E26" s="100">
        <f t="shared" ref="E26:H26" si="4">SUM(E19:E25)</f>
        <v>0</v>
      </c>
      <c r="F26" s="100">
        <f t="shared" si="4"/>
        <v>0</v>
      </c>
      <c r="G26" s="100">
        <f t="shared" si="4"/>
        <v>0</v>
      </c>
      <c r="H26" s="100">
        <f t="shared" si="4"/>
        <v>0</v>
      </c>
      <c r="I26" s="69"/>
      <c r="J26" s="100">
        <f>SUM(J18:J25)</f>
        <v>0</v>
      </c>
    </row>
    <row r="27" spans="2:18" x14ac:dyDescent="0.25">
      <c r="B27" s="17"/>
      <c r="C27" s="77" t="s">
        <v>31</v>
      </c>
      <c r="D27" s="75"/>
      <c r="E27" s="68"/>
      <c r="F27" s="68"/>
      <c r="G27" s="68"/>
      <c r="H27" s="68"/>
      <c r="I27" s="69"/>
      <c r="J27" s="75" t="s">
        <v>18</v>
      </c>
    </row>
    <row r="28" spans="2:18" ht="45" x14ac:dyDescent="0.25">
      <c r="B28" s="17"/>
      <c r="C28" s="74" t="s">
        <v>92</v>
      </c>
      <c r="D28" s="75">
        <f>67000*10</f>
        <v>670000</v>
      </c>
      <c r="E28" s="75">
        <f>67000*10</f>
        <v>670000</v>
      </c>
      <c r="F28" s="75">
        <f>67000*10</f>
        <v>670000</v>
      </c>
      <c r="G28" s="75">
        <f>67000*10</f>
        <v>670000</v>
      </c>
      <c r="H28" s="75">
        <f>67000*10</f>
        <v>670000</v>
      </c>
      <c r="I28" s="73"/>
      <c r="J28" s="75">
        <f>SUM(D28:H28)</f>
        <v>3350000</v>
      </c>
    </row>
    <row r="29" spans="2:18" ht="45" x14ac:dyDescent="0.25">
      <c r="B29" s="17"/>
      <c r="C29" s="74" t="s">
        <v>182</v>
      </c>
      <c r="D29" s="75">
        <v>1600000</v>
      </c>
      <c r="E29" s="75"/>
      <c r="F29" s="75"/>
      <c r="G29" s="75"/>
      <c r="H29" s="75"/>
      <c r="I29" s="73"/>
      <c r="J29" s="75">
        <f>SUM(D29:H29)</f>
        <v>1600000</v>
      </c>
    </row>
    <row r="30" spans="2:18" ht="60" x14ac:dyDescent="0.25">
      <c r="B30" s="17"/>
      <c r="C30" s="74" t="s">
        <v>93</v>
      </c>
      <c r="D30" s="75">
        <v>1225000</v>
      </c>
      <c r="E30" s="75"/>
      <c r="F30" s="75"/>
      <c r="G30" s="75"/>
      <c r="H30" s="75"/>
      <c r="I30" s="73"/>
      <c r="J30" s="75">
        <f>SUM(D30:H30)</f>
        <v>1225000</v>
      </c>
    </row>
    <row r="31" spans="2:18" ht="60" x14ac:dyDescent="0.25">
      <c r="B31" s="17"/>
      <c r="C31" s="74" t="s">
        <v>94</v>
      </c>
      <c r="D31" s="75">
        <v>1225000</v>
      </c>
      <c r="E31" s="75"/>
      <c r="F31" s="75"/>
      <c r="G31" s="75"/>
      <c r="H31" s="75"/>
      <c r="I31" s="69"/>
      <c r="J31" s="75">
        <f>SUM(D31:H31)</f>
        <v>1225000</v>
      </c>
      <c r="R31" t="s">
        <v>32</v>
      </c>
    </row>
    <row r="32" spans="2:18" x14ac:dyDescent="0.25">
      <c r="B32" s="17" t="s">
        <v>32</v>
      </c>
      <c r="C32" s="68" t="s">
        <v>32</v>
      </c>
      <c r="D32" s="68" t="s">
        <v>28</v>
      </c>
      <c r="E32" s="68"/>
      <c r="F32" s="68"/>
      <c r="G32" s="68"/>
      <c r="H32" s="68"/>
      <c r="I32" s="69"/>
      <c r="J32" s="75"/>
    </row>
    <row r="33" spans="2:11" x14ac:dyDescent="0.25">
      <c r="B33" s="17"/>
      <c r="C33" s="76" t="s">
        <v>13</v>
      </c>
      <c r="D33" s="103">
        <f>SUM(D28:D31)</f>
        <v>4720000</v>
      </c>
      <c r="E33" s="103">
        <f t="shared" ref="E33:H33" si="5">SUM(E28:E31)</f>
        <v>670000</v>
      </c>
      <c r="F33" s="103">
        <f t="shared" si="5"/>
        <v>670000</v>
      </c>
      <c r="G33" s="103">
        <f t="shared" si="5"/>
        <v>670000</v>
      </c>
      <c r="H33" s="103">
        <f t="shared" si="5"/>
        <v>670000</v>
      </c>
      <c r="I33" s="69"/>
      <c r="J33" s="100">
        <f>SUM(D33:H33)</f>
        <v>7400000</v>
      </c>
      <c r="K33" s="24"/>
    </row>
    <row r="34" spans="2:11" x14ac:dyDescent="0.25">
      <c r="B34" s="17"/>
      <c r="C34" s="77" t="s">
        <v>33</v>
      </c>
      <c r="D34" s="68" t="s">
        <v>28</v>
      </c>
      <c r="E34" s="68"/>
      <c r="F34" s="68"/>
      <c r="G34" s="68"/>
      <c r="H34" s="68"/>
      <c r="I34" s="69"/>
      <c r="J34" s="75"/>
    </row>
    <row r="35" spans="2:11" x14ac:dyDescent="0.25">
      <c r="B35" s="17"/>
      <c r="C35" s="74"/>
      <c r="D35" s="75"/>
      <c r="E35" s="75"/>
      <c r="F35" s="75"/>
      <c r="G35" s="75"/>
      <c r="H35" s="75"/>
      <c r="I35" s="73"/>
      <c r="J35" s="75">
        <f t="shared" ref="J35:J44" si="6">SUM(D35:H35)</f>
        <v>0</v>
      </c>
    </row>
    <row r="36" spans="2:11" x14ac:dyDescent="0.25">
      <c r="B36" s="17"/>
      <c r="C36" s="74"/>
      <c r="D36" s="75"/>
      <c r="E36" s="75"/>
      <c r="F36" s="75"/>
      <c r="G36" s="75"/>
      <c r="H36" s="75"/>
      <c r="I36" s="69"/>
      <c r="J36" s="75">
        <f t="shared" si="6"/>
        <v>0</v>
      </c>
    </row>
    <row r="37" spans="2:11" x14ac:dyDescent="0.25">
      <c r="B37" s="17"/>
      <c r="C37" s="76" t="s">
        <v>14</v>
      </c>
      <c r="D37" s="100">
        <f>SUM(D35:D36)</f>
        <v>0</v>
      </c>
      <c r="E37" s="100">
        <f t="shared" ref="E37:H37" si="7">SUM(E35:E36)</f>
        <v>0</v>
      </c>
      <c r="F37" s="100">
        <f t="shared" si="7"/>
        <v>0</v>
      </c>
      <c r="G37" s="100">
        <f t="shared" si="7"/>
        <v>0</v>
      </c>
      <c r="H37" s="100">
        <f t="shared" si="7"/>
        <v>0</v>
      </c>
      <c r="I37" s="69"/>
      <c r="J37" s="100">
        <f>SUM(J35:J36)</f>
        <v>0</v>
      </c>
    </row>
    <row r="38" spans="2:11" x14ac:dyDescent="0.25">
      <c r="B38" s="17"/>
      <c r="C38" s="77" t="s">
        <v>34</v>
      </c>
      <c r="D38" s="68" t="s">
        <v>28</v>
      </c>
      <c r="E38" s="68"/>
      <c r="F38" s="68"/>
      <c r="G38" s="68"/>
      <c r="H38" s="68"/>
      <c r="I38" s="69"/>
      <c r="J38" s="75"/>
    </row>
    <row r="39" spans="2:11" x14ac:dyDescent="0.25">
      <c r="B39" s="17"/>
      <c r="C39" s="13"/>
      <c r="D39" s="47"/>
      <c r="E39" s="147"/>
      <c r="F39" s="13"/>
      <c r="G39" s="13"/>
      <c r="H39" s="147"/>
      <c r="J39" s="13"/>
    </row>
    <row r="40" spans="2:11" x14ac:dyDescent="0.25">
      <c r="B40" s="17"/>
      <c r="C40" s="76" t="s">
        <v>15</v>
      </c>
      <c r="D40" s="100"/>
      <c r="E40" s="100"/>
      <c r="F40" s="100"/>
      <c r="G40" s="100"/>
      <c r="H40" s="100"/>
      <c r="I40" s="69"/>
      <c r="J40" s="100"/>
    </row>
    <row r="41" spans="2:11" x14ac:dyDescent="0.25">
      <c r="B41" s="17"/>
      <c r="C41" s="77" t="s">
        <v>35</v>
      </c>
      <c r="D41" s="68" t="s">
        <v>28</v>
      </c>
      <c r="E41" s="68"/>
      <c r="F41" s="68"/>
      <c r="G41" s="68"/>
      <c r="H41" s="68"/>
      <c r="I41" s="69"/>
      <c r="J41" s="75"/>
    </row>
    <row r="42" spans="2:11" x14ac:dyDescent="0.25">
      <c r="B42" s="17"/>
      <c r="C42" s="74"/>
      <c r="D42" s="75"/>
      <c r="E42" s="75"/>
      <c r="F42" s="75"/>
      <c r="G42" s="75"/>
      <c r="H42" s="75"/>
      <c r="I42" s="69"/>
      <c r="J42" s="75">
        <f t="shared" si="6"/>
        <v>0</v>
      </c>
    </row>
    <row r="43" spans="2:11" x14ac:dyDescent="0.25">
      <c r="B43" s="17"/>
      <c r="C43" s="74"/>
      <c r="D43" s="75"/>
      <c r="E43" s="75"/>
      <c r="F43" s="75"/>
      <c r="G43" s="75"/>
      <c r="H43" s="75"/>
      <c r="I43" s="69"/>
      <c r="J43" s="75">
        <f t="shared" si="6"/>
        <v>0</v>
      </c>
    </row>
    <row r="44" spans="2:11" x14ac:dyDescent="0.25">
      <c r="B44" s="17"/>
      <c r="C44" s="68"/>
      <c r="D44" s="75"/>
      <c r="E44" s="75"/>
      <c r="F44" s="75"/>
      <c r="G44" s="75"/>
      <c r="H44" s="75"/>
      <c r="I44" s="69"/>
      <c r="J44" s="75">
        <f t="shared" si="6"/>
        <v>0</v>
      </c>
    </row>
    <row r="45" spans="2:11" x14ac:dyDescent="0.25">
      <c r="B45" s="18"/>
      <c r="C45" s="76" t="s">
        <v>16</v>
      </c>
      <c r="D45" s="100">
        <f>SUM(D42:D44)</f>
        <v>0</v>
      </c>
      <c r="E45" s="100">
        <f>SUM(E42:E44)</f>
        <v>0</v>
      </c>
      <c r="F45" s="100">
        <f>SUM(F42:F44)</f>
        <v>0</v>
      </c>
      <c r="G45" s="100">
        <f>SUM(G42:G44)</f>
        <v>0</v>
      </c>
      <c r="H45" s="100">
        <f>SUM(H42:H44)</f>
        <v>0</v>
      </c>
      <c r="I45" s="69"/>
      <c r="J45" s="100">
        <f>SUM(J42:J44)</f>
        <v>0</v>
      </c>
    </row>
    <row r="46" spans="2:11" x14ac:dyDescent="0.25">
      <c r="B46" s="18"/>
      <c r="C46" s="76" t="s">
        <v>17</v>
      </c>
      <c r="D46" s="100">
        <f>D45+D37+D33+D26+D16+D11</f>
        <v>4814400</v>
      </c>
      <c r="E46" s="100">
        <f t="shared" ref="E46:H46" si="8">E45+E37+E33+E26+E16+E11</f>
        <v>769120</v>
      </c>
      <c r="F46" s="100">
        <f t="shared" si="8"/>
        <v>774076</v>
      </c>
      <c r="G46" s="100">
        <f t="shared" si="8"/>
        <v>779280.98</v>
      </c>
      <c r="H46" s="100">
        <f t="shared" si="8"/>
        <v>784745.0290000001</v>
      </c>
      <c r="I46" s="69"/>
      <c r="J46" s="100">
        <f>SUM(D46:H46)</f>
        <v>7921622.0090000005</v>
      </c>
    </row>
    <row r="47" spans="2:11" x14ac:dyDescent="0.25">
      <c r="B47" s="6"/>
      <c r="C47" s="69"/>
      <c r="D47" s="69"/>
      <c r="E47" s="69"/>
      <c r="F47" s="69"/>
      <c r="G47" s="69"/>
      <c r="H47" s="69"/>
      <c r="I47" s="69"/>
      <c r="J47" s="69" t="s">
        <v>18</v>
      </c>
    </row>
    <row r="48" spans="2:11" ht="30" x14ac:dyDescent="0.25">
      <c r="B48" s="50" t="s">
        <v>36</v>
      </c>
      <c r="C48" s="78" t="s">
        <v>36</v>
      </c>
      <c r="D48" s="70"/>
      <c r="E48" s="70"/>
      <c r="F48" s="70"/>
      <c r="G48" s="70"/>
      <c r="H48" s="70"/>
      <c r="I48" s="69"/>
      <c r="J48" s="70" t="s">
        <v>18</v>
      </c>
    </row>
    <row r="49" spans="2:10" x14ac:dyDescent="0.25">
      <c r="B49" s="17"/>
      <c r="C49" s="74"/>
      <c r="D49" s="68"/>
      <c r="E49" s="68"/>
      <c r="F49" s="68"/>
      <c r="G49" s="68"/>
      <c r="H49" s="68"/>
      <c r="I49" s="69"/>
      <c r="J49" s="75">
        <f>SUM(D49:H49)</f>
        <v>0</v>
      </c>
    </row>
    <row r="50" spans="2:10" x14ac:dyDescent="0.25">
      <c r="B50" s="17"/>
      <c r="C50" s="74"/>
      <c r="D50" s="68"/>
      <c r="E50" s="68"/>
      <c r="F50" s="68"/>
      <c r="G50" s="68"/>
      <c r="H50" s="68"/>
      <c r="I50" s="69"/>
      <c r="J50" s="75">
        <f t="shared" ref="J50" si="9">SUM(D50:H50)</f>
        <v>0</v>
      </c>
    </row>
    <row r="51" spans="2:10" x14ac:dyDescent="0.25">
      <c r="B51" s="18"/>
      <c r="C51" s="76" t="s">
        <v>19</v>
      </c>
      <c r="D51" s="100">
        <f>SUM(D49:D50)</f>
        <v>0</v>
      </c>
      <c r="E51" s="100">
        <f t="shared" ref="E51:H51" si="10">SUM(E49:E50)</f>
        <v>0</v>
      </c>
      <c r="F51" s="100">
        <f t="shared" si="10"/>
        <v>0</v>
      </c>
      <c r="G51" s="100">
        <f t="shared" si="10"/>
        <v>0</v>
      </c>
      <c r="H51" s="100">
        <f t="shared" si="10"/>
        <v>0</v>
      </c>
      <c r="I51" s="69"/>
      <c r="J51" s="100">
        <f>SUM(J49:J50)</f>
        <v>0</v>
      </c>
    </row>
    <row r="52" spans="2:10" ht="15.75" thickBot="1" x14ac:dyDescent="0.3">
      <c r="B52" s="6"/>
      <c r="C52" s="69"/>
      <c r="D52" s="69"/>
      <c r="E52" s="69"/>
      <c r="F52" s="69"/>
      <c r="G52" s="69"/>
      <c r="H52" s="69"/>
      <c r="I52" s="69"/>
      <c r="J52" s="69" t="s">
        <v>18</v>
      </c>
    </row>
    <row r="53" spans="2:10" s="1" customFormat="1" ht="30.75" thickBot="1" x14ac:dyDescent="0.3">
      <c r="B53" s="14" t="s">
        <v>20</v>
      </c>
      <c r="C53" s="79"/>
      <c r="D53" s="108">
        <f>SUM(D51,D46)</f>
        <v>4814400</v>
      </c>
      <c r="E53" s="108">
        <f t="shared" ref="E53:H53" si="11">SUM(E51,E46)</f>
        <v>769120</v>
      </c>
      <c r="F53" s="108">
        <f t="shared" si="11"/>
        <v>774076</v>
      </c>
      <c r="G53" s="108">
        <f t="shared" si="11"/>
        <v>779280.98</v>
      </c>
      <c r="H53" s="108">
        <f t="shared" si="11"/>
        <v>784745.0290000001</v>
      </c>
      <c r="I53" s="69"/>
      <c r="J53" s="108">
        <f>SUM(J51,J46)</f>
        <v>7921622.0090000005</v>
      </c>
    </row>
    <row r="54" spans="2:10" x14ac:dyDescent="0.25">
      <c r="B54" s="6"/>
    </row>
    <row r="55" spans="2:10" x14ac:dyDescent="0.25">
      <c r="B55" s="6"/>
    </row>
    <row r="56" spans="2:10" x14ac:dyDescent="0.25">
      <c r="B56" s="6"/>
    </row>
    <row r="57" spans="2:10" x14ac:dyDescent="0.25">
      <c r="B57" s="6"/>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sheetData>
  <pageMargins left="0.7" right="0.7" top="0.75" bottom="0.75" header="0.3" footer="0.3"/>
  <pageSetup scale="97" fitToHeight="0" orientation="landscape" r:id="rId1"/>
  <ignoredErrors>
    <ignoredError sqref="J45"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2:AM73"/>
  <sheetViews>
    <sheetView showGridLines="0" topLeftCell="A46" zoomScale="90" zoomScaleNormal="90" workbookViewId="0">
      <selection activeCell="I69" sqref="I69"/>
    </sheetView>
  </sheetViews>
  <sheetFormatPr defaultColWidth="9.140625" defaultRowHeight="15" x14ac:dyDescent="0.25"/>
  <cols>
    <col min="1" max="1" width="3.140625" customWidth="1"/>
    <col min="2" max="2" width="18" customWidth="1"/>
    <col min="3" max="3" width="35.42578125" customWidth="1"/>
    <col min="4" max="4" width="20.5703125" style="6" customWidth="1"/>
    <col min="5" max="5" width="20" style="2" customWidth="1"/>
    <col min="6" max="6" width="20.5703125" customWidth="1"/>
    <col min="7" max="7" width="13" customWidth="1"/>
    <col min="8" max="8" width="16.28515625" style="2" customWidth="1"/>
    <col min="9" max="9" width="1.7109375" style="7" customWidth="1"/>
    <col min="10" max="10" width="18.28515625" customWidth="1"/>
    <col min="11" max="11" width="10.140625" customWidth="1"/>
    <col min="12" max="12" width="9.140625" style="111"/>
    <col min="13" max="13" width="50.140625" customWidth="1"/>
    <col min="18" max="18" width="12.7109375" bestFit="1" customWidth="1"/>
  </cols>
  <sheetData>
    <row r="2" spans="2:39" ht="24" thickBot="1" x14ac:dyDescent="0.4">
      <c r="B2" s="20" t="s">
        <v>159</v>
      </c>
    </row>
    <row r="3" spans="2:39" ht="147" customHeight="1" thickBot="1" x14ac:dyDescent="0.3">
      <c r="B3" s="245" t="s">
        <v>161</v>
      </c>
      <c r="C3" s="246"/>
      <c r="D3" s="246"/>
      <c r="E3" s="246"/>
      <c r="F3" s="246"/>
      <c r="G3" s="246"/>
      <c r="H3" s="246"/>
      <c r="I3" s="246"/>
      <c r="J3" s="247"/>
    </row>
    <row r="4" spans="2:39" ht="15.75" thickBot="1" x14ac:dyDescent="0.3">
      <c r="B4" s="177" t="s">
        <v>160</v>
      </c>
    </row>
    <row r="5" spans="2:39" ht="18.75" x14ac:dyDescent="0.3">
      <c r="B5" s="167" t="s">
        <v>0</v>
      </c>
      <c r="C5" s="27"/>
      <c r="D5" s="27"/>
      <c r="E5" s="27"/>
      <c r="F5" s="27"/>
      <c r="G5" s="27"/>
      <c r="H5" s="27"/>
      <c r="I5" s="27"/>
      <c r="J5" s="28"/>
    </row>
    <row r="6" spans="2:39" x14ac:dyDescent="0.25">
      <c r="B6" s="29" t="s">
        <v>1</v>
      </c>
      <c r="C6" s="29" t="s">
        <v>2</v>
      </c>
      <c r="D6" s="29" t="s">
        <v>3</v>
      </c>
      <c r="E6" s="30" t="s">
        <v>4</v>
      </c>
      <c r="F6" s="30" t="s">
        <v>5</v>
      </c>
      <c r="G6" s="30" t="s">
        <v>6</v>
      </c>
      <c r="H6" s="31" t="s">
        <v>7</v>
      </c>
      <c r="I6" s="32"/>
      <c r="J6" s="33" t="s">
        <v>8</v>
      </c>
    </row>
    <row r="7" spans="2:39" s="5" customFormat="1" x14ac:dyDescent="0.25">
      <c r="B7" s="50" t="s">
        <v>9</v>
      </c>
      <c r="C7" s="19" t="s">
        <v>27</v>
      </c>
      <c r="D7" s="10" t="s">
        <v>28</v>
      </c>
      <c r="E7" s="10" t="s">
        <v>28</v>
      </c>
      <c r="F7" s="10" t="s">
        <v>28</v>
      </c>
      <c r="G7" s="10"/>
      <c r="H7" s="10" t="s">
        <v>28</v>
      </c>
      <c r="I7" s="7"/>
      <c r="J7" s="8" t="s">
        <v>28</v>
      </c>
      <c r="K7"/>
      <c r="L7" s="111"/>
      <c r="M7"/>
      <c r="N7"/>
      <c r="O7"/>
      <c r="P7"/>
      <c r="Q7"/>
      <c r="R7"/>
      <c r="S7"/>
      <c r="T7"/>
      <c r="U7"/>
      <c r="V7"/>
      <c r="W7"/>
      <c r="X7"/>
      <c r="Y7"/>
      <c r="Z7"/>
      <c r="AA7"/>
      <c r="AB7"/>
      <c r="AC7"/>
      <c r="AD7"/>
      <c r="AE7"/>
      <c r="AF7"/>
      <c r="AG7"/>
      <c r="AH7"/>
      <c r="AI7"/>
      <c r="AJ7"/>
      <c r="AK7"/>
      <c r="AL7"/>
      <c r="AM7"/>
    </row>
    <row r="8" spans="2:39" ht="60" x14ac:dyDescent="0.25">
      <c r="B8" s="17"/>
      <c r="C8" s="168" t="s">
        <v>176</v>
      </c>
      <c r="D8" s="169">
        <f>222121*0.25</f>
        <v>55530.25</v>
      </c>
      <c r="E8" s="169">
        <f>D8/0.25*0.5</f>
        <v>111060.5</v>
      </c>
      <c r="F8" s="169">
        <f>E8/0.5*0.25</f>
        <v>55530.25</v>
      </c>
      <c r="G8" s="169"/>
      <c r="H8" s="169"/>
      <c r="I8" s="73"/>
      <c r="J8" s="169">
        <f>SUM(D8:H8)</f>
        <v>222121</v>
      </c>
    </row>
    <row r="9" spans="2:39" ht="90" x14ac:dyDescent="0.25">
      <c r="B9" s="17"/>
      <c r="C9" s="168" t="s">
        <v>177</v>
      </c>
      <c r="D9" s="169">
        <f>80000*0.2</f>
        <v>16000</v>
      </c>
      <c r="E9" s="169">
        <f>80000*0.2</f>
        <v>16000</v>
      </c>
      <c r="F9" s="169">
        <f>80000*0.2</f>
        <v>16000</v>
      </c>
      <c r="G9" s="169">
        <f>80000*0.2</f>
        <v>16000</v>
      </c>
      <c r="H9" s="169">
        <f>80000*0.2</f>
        <v>16000</v>
      </c>
      <c r="I9" s="69"/>
      <c r="J9" s="169">
        <f>SUM(D9:H9)</f>
        <v>80000</v>
      </c>
      <c r="M9" s="24"/>
    </row>
    <row r="10" spans="2:39" x14ac:dyDescent="0.25">
      <c r="B10" s="17"/>
      <c r="C10" s="74"/>
      <c r="D10" s="75"/>
      <c r="E10" s="75"/>
      <c r="F10" s="75"/>
      <c r="G10" s="75"/>
      <c r="H10" s="75"/>
      <c r="I10" s="69"/>
      <c r="J10" s="75"/>
    </row>
    <row r="11" spans="2:39" x14ac:dyDescent="0.25">
      <c r="B11" s="17"/>
      <c r="C11" s="76" t="s">
        <v>10</v>
      </c>
      <c r="D11" s="100">
        <f>SUM(D8:D10)</f>
        <v>71530.25</v>
      </c>
      <c r="E11" s="100">
        <f t="shared" ref="E11:H11" si="0">SUM(E8:E10)</f>
        <v>127060.5</v>
      </c>
      <c r="F11" s="100">
        <f>SUM(F8:F10)</f>
        <v>71530.25</v>
      </c>
      <c r="G11" s="100">
        <f t="shared" si="0"/>
        <v>16000</v>
      </c>
      <c r="H11" s="100">
        <f t="shared" si="0"/>
        <v>16000</v>
      </c>
      <c r="I11" s="69"/>
      <c r="J11" s="100">
        <f>SUM(D11:H11)</f>
        <v>302121</v>
      </c>
    </row>
    <row r="12" spans="2:39" x14ac:dyDescent="0.25">
      <c r="B12" s="17"/>
      <c r="C12" s="77" t="s">
        <v>29</v>
      </c>
      <c r="D12" s="68" t="s">
        <v>28</v>
      </c>
      <c r="E12" s="68"/>
      <c r="F12" s="68"/>
      <c r="G12" s="68"/>
      <c r="H12" s="68"/>
      <c r="I12" s="69"/>
      <c r="J12" s="70" t="s">
        <v>28</v>
      </c>
    </row>
    <row r="13" spans="2:39" ht="30" x14ac:dyDescent="0.25">
      <c r="B13" s="17"/>
      <c r="C13" s="168" t="s">
        <v>37</v>
      </c>
      <c r="D13" s="169">
        <f>0.17*(D9)</f>
        <v>2720</v>
      </c>
      <c r="E13" s="169">
        <f>0.17*(E9)</f>
        <v>2720</v>
      </c>
      <c r="F13" s="169">
        <f>0.17*(F9)</f>
        <v>2720</v>
      </c>
      <c r="G13" s="169">
        <f>0.17*(G9)</f>
        <v>2720</v>
      </c>
      <c r="H13" s="169">
        <f>0.17*(H9)</f>
        <v>2720</v>
      </c>
      <c r="I13" s="69"/>
      <c r="J13" s="169">
        <f>SUM(D13:H13)</f>
        <v>13600</v>
      </c>
    </row>
    <row r="14" spans="2:39" x14ac:dyDescent="0.25">
      <c r="B14" s="17"/>
      <c r="C14" s="74"/>
      <c r="D14" s="75"/>
      <c r="E14" s="75"/>
      <c r="F14" s="75"/>
      <c r="G14" s="75"/>
      <c r="H14" s="75"/>
      <c r="I14" s="69"/>
      <c r="J14" s="75">
        <f>SUM(D14:H14)</f>
        <v>0</v>
      </c>
    </row>
    <row r="15" spans="2:39" x14ac:dyDescent="0.25">
      <c r="B15" s="17"/>
      <c r="C15" s="68"/>
      <c r="D15" s="75"/>
      <c r="E15" s="75"/>
      <c r="F15" s="75"/>
      <c r="G15" s="75"/>
      <c r="H15" s="75"/>
      <c r="I15" s="69"/>
      <c r="J15" s="75">
        <f>SUM(D15:H15)</f>
        <v>0</v>
      </c>
    </row>
    <row r="16" spans="2:39" x14ac:dyDescent="0.25">
      <c r="B16" s="17"/>
      <c r="C16" s="76" t="s">
        <v>11</v>
      </c>
      <c r="D16" s="100">
        <f>SUM(D13:D15)</f>
        <v>2720</v>
      </c>
      <c r="E16" s="100">
        <f>SUM(E13:E15)</f>
        <v>2720</v>
      </c>
      <c r="F16" s="100">
        <f>SUM(F13:F15)</f>
        <v>2720</v>
      </c>
      <c r="G16" s="100">
        <f>SUM(G13:G15)</f>
        <v>2720</v>
      </c>
      <c r="H16" s="100">
        <f>SUM(H13:H15)</f>
        <v>2720</v>
      </c>
      <c r="I16" s="69"/>
      <c r="J16" s="100">
        <f>SUM(D16:H16)</f>
        <v>13600</v>
      </c>
      <c r="K16" s="24">
        <f>J11+J16</f>
        <v>315721</v>
      </c>
    </row>
    <row r="17" spans="2:10" x14ac:dyDescent="0.25">
      <c r="B17" s="17"/>
      <c r="C17" s="77" t="s">
        <v>30</v>
      </c>
      <c r="D17" s="68" t="s">
        <v>28</v>
      </c>
      <c r="E17" s="68"/>
      <c r="F17" s="68"/>
      <c r="G17" s="68"/>
      <c r="H17" s="68"/>
      <c r="I17" s="69"/>
      <c r="J17" s="70" t="s">
        <v>28</v>
      </c>
    </row>
    <row r="18" spans="2:10" ht="30" x14ac:dyDescent="0.25">
      <c r="B18" s="17"/>
      <c r="C18" s="170" t="s">
        <v>38</v>
      </c>
      <c r="D18" s="169" t="s">
        <v>32</v>
      </c>
      <c r="E18" s="169" t="s">
        <v>32</v>
      </c>
      <c r="F18" s="169" t="s">
        <v>32</v>
      </c>
      <c r="G18" s="169"/>
      <c r="H18" s="169"/>
      <c r="I18" s="69"/>
      <c r="J18" s="169"/>
    </row>
    <row r="19" spans="2:10" ht="30" x14ac:dyDescent="0.25">
      <c r="B19" s="17"/>
      <c r="C19" s="170" t="s">
        <v>39</v>
      </c>
      <c r="D19" s="169">
        <v>400</v>
      </c>
      <c r="E19" s="169">
        <v>400</v>
      </c>
      <c r="F19" s="169">
        <v>400</v>
      </c>
      <c r="G19" s="169">
        <v>400</v>
      </c>
      <c r="H19" s="169">
        <v>400</v>
      </c>
      <c r="I19" s="73"/>
      <c r="J19" s="169">
        <f t="shared" ref="J19:J25" si="1">SUM(D19:H19)</f>
        <v>2000</v>
      </c>
    </row>
    <row r="20" spans="2:10" ht="30" x14ac:dyDescent="0.25">
      <c r="B20" s="17"/>
      <c r="C20" s="170" t="s">
        <v>40</v>
      </c>
      <c r="D20" s="169">
        <v>50</v>
      </c>
      <c r="E20" s="169">
        <v>50</v>
      </c>
      <c r="F20" s="169">
        <v>50</v>
      </c>
      <c r="G20" s="169">
        <v>50</v>
      </c>
      <c r="H20" s="169">
        <v>50</v>
      </c>
      <c r="I20" s="73"/>
      <c r="J20" s="169">
        <f t="shared" si="1"/>
        <v>250</v>
      </c>
    </row>
    <row r="21" spans="2:10" ht="30" x14ac:dyDescent="0.25">
      <c r="B21" s="17"/>
      <c r="C21" s="168" t="s">
        <v>41</v>
      </c>
      <c r="D21" s="169">
        <v>450</v>
      </c>
      <c r="E21" s="169">
        <v>450</v>
      </c>
      <c r="F21" s="169">
        <v>450</v>
      </c>
      <c r="G21" s="169">
        <v>450</v>
      </c>
      <c r="H21" s="169">
        <v>450</v>
      </c>
      <c r="I21" s="73"/>
      <c r="J21" s="169">
        <f t="shared" si="1"/>
        <v>2250</v>
      </c>
    </row>
    <row r="22" spans="2:10" ht="30" x14ac:dyDescent="0.25">
      <c r="B22" s="17"/>
      <c r="C22" s="170" t="s">
        <v>42</v>
      </c>
      <c r="D22" s="169">
        <v>248</v>
      </c>
      <c r="E22" s="169">
        <v>248</v>
      </c>
      <c r="F22" s="169">
        <v>248</v>
      </c>
      <c r="G22" s="169">
        <v>248</v>
      </c>
      <c r="H22" s="169">
        <v>248</v>
      </c>
      <c r="I22" s="73"/>
      <c r="J22" s="169">
        <f t="shared" si="1"/>
        <v>1240</v>
      </c>
    </row>
    <row r="23" spans="2:10" x14ac:dyDescent="0.25">
      <c r="B23" s="17"/>
      <c r="C23" s="170" t="s">
        <v>43</v>
      </c>
      <c r="D23" s="169">
        <v>45</v>
      </c>
      <c r="E23" s="169">
        <v>45</v>
      </c>
      <c r="F23" s="169">
        <v>45</v>
      </c>
      <c r="G23" s="169">
        <v>45</v>
      </c>
      <c r="H23" s="169">
        <v>45</v>
      </c>
      <c r="I23" s="73"/>
      <c r="J23" s="169">
        <f t="shared" si="1"/>
        <v>225</v>
      </c>
    </row>
    <row r="24" spans="2:10" ht="30" x14ac:dyDescent="0.25">
      <c r="B24" s="17"/>
      <c r="C24" s="170" t="s">
        <v>44</v>
      </c>
      <c r="D24" s="169">
        <v>80</v>
      </c>
      <c r="E24" s="169">
        <v>80</v>
      </c>
      <c r="F24" s="169">
        <v>80</v>
      </c>
      <c r="G24" s="169">
        <v>80</v>
      </c>
      <c r="H24" s="169">
        <v>80</v>
      </c>
      <c r="I24" s="73"/>
      <c r="J24" s="169">
        <f t="shared" si="1"/>
        <v>400</v>
      </c>
    </row>
    <row r="25" spans="2:10" ht="30" x14ac:dyDescent="0.25">
      <c r="B25" s="17"/>
      <c r="C25" s="168" t="s">
        <v>45</v>
      </c>
      <c r="D25" s="169">
        <v>328</v>
      </c>
      <c r="E25" s="169">
        <v>328</v>
      </c>
      <c r="F25" s="169">
        <v>328</v>
      </c>
      <c r="G25" s="169">
        <v>328</v>
      </c>
      <c r="H25" s="169">
        <v>328</v>
      </c>
      <c r="I25" s="73"/>
      <c r="J25" s="169">
        <f t="shared" si="1"/>
        <v>1640</v>
      </c>
    </row>
    <row r="26" spans="2:10" x14ac:dyDescent="0.25">
      <c r="B26" s="17"/>
      <c r="C26" s="76" t="s">
        <v>12</v>
      </c>
      <c r="D26" s="100">
        <f>SUM(D19:D25)</f>
        <v>1601</v>
      </c>
      <c r="E26" s="100">
        <f>SUM(E19:E25)</f>
        <v>1601</v>
      </c>
      <c r="F26" s="100">
        <f>SUM(F19:F25)</f>
        <v>1601</v>
      </c>
      <c r="G26" s="100">
        <f>SUM(G19:G25)</f>
        <v>1601</v>
      </c>
      <c r="H26" s="100">
        <f>SUM(H19:H25)</f>
        <v>1601</v>
      </c>
      <c r="I26" s="69"/>
      <c r="J26" s="100">
        <f>SUM(D26:H26)</f>
        <v>8005</v>
      </c>
    </row>
    <row r="27" spans="2:10" x14ac:dyDescent="0.25">
      <c r="B27" s="17"/>
      <c r="C27" s="77" t="s">
        <v>31</v>
      </c>
      <c r="D27" s="75"/>
      <c r="E27" s="68"/>
      <c r="F27" s="68"/>
      <c r="G27" s="68"/>
      <c r="H27" s="68"/>
      <c r="I27" s="69"/>
      <c r="J27" s="75" t="s">
        <v>18</v>
      </c>
    </row>
    <row r="28" spans="2:10" x14ac:dyDescent="0.25">
      <c r="B28" s="17"/>
      <c r="C28" s="74"/>
      <c r="D28" s="75"/>
      <c r="E28" s="68"/>
      <c r="F28" s="68"/>
      <c r="G28" s="68"/>
      <c r="H28" s="68"/>
      <c r="I28" s="69"/>
      <c r="J28" s="75">
        <f>SUM(D28:H28)</f>
        <v>0</v>
      </c>
    </row>
    <row r="29" spans="2:10" x14ac:dyDescent="0.25">
      <c r="B29" s="17" t="s">
        <v>32</v>
      </c>
      <c r="C29" s="68" t="s">
        <v>32</v>
      </c>
      <c r="D29" s="68" t="s">
        <v>28</v>
      </c>
      <c r="E29" s="68"/>
      <c r="F29" s="68"/>
      <c r="G29" s="68"/>
      <c r="H29" s="68"/>
      <c r="I29" s="69"/>
      <c r="J29" s="75">
        <f>SUM(D29:H29)</f>
        <v>0</v>
      </c>
    </row>
    <row r="30" spans="2:10" x14ac:dyDescent="0.25">
      <c r="B30" s="17"/>
      <c r="C30" s="76" t="s">
        <v>13</v>
      </c>
      <c r="D30" s="103">
        <f>SUM(D28:D29)</f>
        <v>0</v>
      </c>
      <c r="E30" s="103">
        <f>SUM(E28:E29)</f>
        <v>0</v>
      </c>
      <c r="F30" s="103">
        <f>SUM(F28:F29)</f>
        <v>0</v>
      </c>
      <c r="G30" s="103">
        <f>SUM(G28:G29)</f>
        <v>0</v>
      </c>
      <c r="H30" s="103">
        <f>SUM(H28:H29)</f>
        <v>0</v>
      </c>
      <c r="I30" s="69"/>
      <c r="J30" s="100">
        <f>SUM(D30:H30)</f>
        <v>0</v>
      </c>
    </row>
    <row r="31" spans="2:10" x14ac:dyDescent="0.25">
      <c r="B31" s="17"/>
      <c r="C31" s="77" t="s">
        <v>33</v>
      </c>
      <c r="D31" s="68" t="s">
        <v>28</v>
      </c>
      <c r="E31" s="68"/>
      <c r="F31" s="68"/>
      <c r="G31" s="68"/>
      <c r="H31" s="68"/>
      <c r="I31" s="69"/>
      <c r="J31" s="75"/>
    </row>
    <row r="32" spans="2:10" x14ac:dyDescent="0.25">
      <c r="B32" s="17"/>
      <c r="C32" s="74"/>
      <c r="D32" s="75">
        <v>0</v>
      </c>
      <c r="E32" s="75">
        <v>0</v>
      </c>
      <c r="F32" s="75">
        <v>0</v>
      </c>
      <c r="G32" s="75">
        <v>0</v>
      </c>
      <c r="H32" s="75">
        <v>0</v>
      </c>
      <c r="I32" s="73"/>
      <c r="J32" s="75">
        <f>SUM(D32:H32)</f>
        <v>0</v>
      </c>
    </row>
    <row r="33" spans="2:18" x14ac:dyDescent="0.25">
      <c r="B33" s="17"/>
      <c r="C33" s="74"/>
      <c r="D33" s="75"/>
      <c r="E33" s="75"/>
      <c r="F33" s="75"/>
      <c r="G33" s="75"/>
      <c r="H33" s="75"/>
      <c r="I33" s="69"/>
      <c r="J33" s="75">
        <f>SUM(D33:H33)</f>
        <v>0</v>
      </c>
    </row>
    <row r="34" spans="2:18" x14ac:dyDescent="0.25">
      <c r="B34" s="17"/>
      <c r="C34" s="76" t="s">
        <v>14</v>
      </c>
      <c r="D34" s="100">
        <f>SUM(D32:D33)</f>
        <v>0</v>
      </c>
      <c r="E34" s="100">
        <f>SUM(E32:E33)</f>
        <v>0</v>
      </c>
      <c r="F34" s="100">
        <f>SUM(F32:F33)</f>
        <v>0</v>
      </c>
      <c r="G34" s="100">
        <f>SUM(G32:G33)</f>
        <v>0</v>
      </c>
      <c r="H34" s="100">
        <f>SUM(H32:H33)</f>
        <v>0</v>
      </c>
      <c r="I34" s="69"/>
      <c r="J34" s="100">
        <f>SUM(D34:H34)</f>
        <v>0</v>
      </c>
    </row>
    <row r="35" spans="2:18" x14ac:dyDescent="0.25">
      <c r="B35" s="17"/>
      <c r="C35" s="77" t="s">
        <v>34</v>
      </c>
      <c r="D35" s="68" t="s">
        <v>28</v>
      </c>
      <c r="E35" s="68"/>
      <c r="F35" s="68"/>
      <c r="G35" s="68"/>
      <c r="H35" s="68"/>
      <c r="I35" s="69"/>
      <c r="J35" s="75"/>
    </row>
    <row r="36" spans="2:18" ht="180" x14ac:dyDescent="0.25">
      <c r="B36" s="17"/>
      <c r="C36" s="175" t="s">
        <v>104</v>
      </c>
      <c r="D36" s="72">
        <f>(19314900-1600000)*0.25*$L40</f>
        <v>2296793.2379736491</v>
      </c>
      <c r="E36" s="72">
        <f>(19314900-1600000)*0.5*$L40</f>
        <v>4593586.4759472981</v>
      </c>
      <c r="F36" s="72">
        <f>(19314900-1600000)*0.25*$L40</f>
        <v>2296793.2379736491</v>
      </c>
      <c r="G36" s="72"/>
      <c r="H36" s="72"/>
      <c r="I36" s="154"/>
      <c r="J36" s="72">
        <f>SUM(D36:H36)</f>
        <v>9187172.9518945962</v>
      </c>
    </row>
    <row r="37" spans="2:18" ht="90" x14ac:dyDescent="0.25">
      <c r="B37" s="17"/>
      <c r="C37" s="71" t="s">
        <v>102</v>
      </c>
      <c r="D37" s="176"/>
      <c r="E37" s="72">
        <f>(6100000+350000)*0.25*$L42</f>
        <v>836263.05454335257</v>
      </c>
      <c r="F37" s="72">
        <f>(6100000+350000)*0.5*$L42</f>
        <v>1672526.1090867051</v>
      </c>
      <c r="G37" s="72">
        <f>(6100000+350000)*0.25*$L42</f>
        <v>836263.05454335257</v>
      </c>
      <c r="H37" s="72"/>
      <c r="I37" s="154"/>
      <c r="J37" s="72">
        <f>SUM(D37:H37)</f>
        <v>3345052.2181734103</v>
      </c>
    </row>
    <row r="38" spans="2:18" ht="205.5" customHeight="1" x14ac:dyDescent="0.25">
      <c r="B38" s="17"/>
      <c r="C38" s="71" t="s">
        <v>101</v>
      </c>
      <c r="D38" s="72"/>
      <c r="E38" s="72"/>
      <c r="F38" s="72">
        <v>1600000</v>
      </c>
      <c r="G38" s="72"/>
      <c r="H38" s="72"/>
      <c r="I38" s="80"/>
      <c r="J38" s="72">
        <f>SUM(D38:H38)</f>
        <v>1600000</v>
      </c>
      <c r="M38" s="45"/>
    </row>
    <row r="39" spans="2:18" ht="208.5" customHeight="1" x14ac:dyDescent="0.25">
      <c r="B39" s="17"/>
      <c r="C39" s="172" t="s">
        <v>105</v>
      </c>
      <c r="D39" s="169">
        <f>(19314900-1600000)*0.25*$L39</f>
        <v>2131931.7620263514</v>
      </c>
      <c r="E39" s="169">
        <f>(19314900-1600000)*0.5*$L39</f>
        <v>4263863.5240527028</v>
      </c>
      <c r="F39" s="169">
        <f>(19314900-1600000)*0.25*$L39</f>
        <v>2131931.7620263514</v>
      </c>
      <c r="G39" s="169"/>
      <c r="H39" s="169"/>
      <c r="I39" s="171"/>
      <c r="J39" s="169">
        <f>SUM(D39:H39)</f>
        <v>8527727.0481054056</v>
      </c>
      <c r="L39" s="173">
        <v>0.48138725299637058</v>
      </c>
      <c r="R39" s="24"/>
    </row>
    <row r="40" spans="2:18" ht="75" x14ac:dyDescent="0.25">
      <c r="B40" s="17"/>
      <c r="C40" s="168" t="s">
        <v>103</v>
      </c>
      <c r="D40" s="169"/>
      <c r="E40" s="169">
        <f>(6100000+350000)*0.25*$L41</f>
        <v>776236.94545664755</v>
      </c>
      <c r="F40" s="169">
        <f>(6100000+350000)*0.5*$L41</f>
        <v>1552473.8909132951</v>
      </c>
      <c r="G40" s="169">
        <f>(6100000+350000)*0.25*$L41</f>
        <v>776236.94545664755</v>
      </c>
      <c r="H40" s="169"/>
      <c r="I40" s="73"/>
      <c r="J40" s="169">
        <f t="shared" ref="J40:J42" si="2">SUM(D40:H40)</f>
        <v>3104947.7818265902</v>
      </c>
      <c r="L40" s="111">
        <f>100%-L39</f>
        <v>0.51861274700362947</v>
      </c>
    </row>
    <row r="41" spans="2:18" ht="90" x14ac:dyDescent="0.25">
      <c r="B41" s="17"/>
      <c r="C41" s="168" t="s">
        <v>73</v>
      </c>
      <c r="D41" s="169"/>
      <c r="E41" s="169">
        <v>275000</v>
      </c>
      <c r="F41" s="169"/>
      <c r="G41" s="169"/>
      <c r="H41" s="169"/>
      <c r="I41" s="73"/>
      <c r="J41" s="169">
        <f t="shared" si="2"/>
        <v>275000</v>
      </c>
      <c r="L41" s="111">
        <f>L39</f>
        <v>0.48138725299637058</v>
      </c>
    </row>
    <row r="42" spans="2:18" ht="30" x14ac:dyDescent="0.25">
      <c r="B42" s="17"/>
      <c r="C42" s="168" t="s">
        <v>74</v>
      </c>
      <c r="D42" s="169"/>
      <c r="E42" s="169"/>
      <c r="F42" s="169">
        <v>75000</v>
      </c>
      <c r="G42" s="169">
        <v>75000</v>
      </c>
      <c r="H42" s="169">
        <v>75000</v>
      </c>
      <c r="I42" s="69"/>
      <c r="J42" s="169">
        <f t="shared" si="2"/>
        <v>225000</v>
      </c>
      <c r="L42" s="111">
        <f>L40</f>
        <v>0.51861274700362947</v>
      </c>
    </row>
    <row r="43" spans="2:18" x14ac:dyDescent="0.25">
      <c r="B43" s="17"/>
      <c r="C43" s="76" t="s">
        <v>15</v>
      </c>
      <c r="D43" s="100">
        <f>SUM(D39:D42)</f>
        <v>2131931.7620263514</v>
      </c>
      <c r="E43" s="100">
        <f t="shared" ref="E43:H43" si="3">SUM(E39:E42)</f>
        <v>5315100.4695093501</v>
      </c>
      <c r="F43" s="100">
        <f>SUM(F39:F42)</f>
        <v>3759405.6529396465</v>
      </c>
      <c r="G43" s="100">
        <f t="shared" si="3"/>
        <v>851236.94545664755</v>
      </c>
      <c r="H43" s="100">
        <f t="shared" si="3"/>
        <v>75000</v>
      </c>
      <c r="I43" s="69"/>
      <c r="J43" s="100">
        <f>SUM(D43:H43)</f>
        <v>12132674.829931995</v>
      </c>
    </row>
    <row r="44" spans="2:18" x14ac:dyDescent="0.25">
      <c r="B44" s="17"/>
      <c r="C44" s="208" t="s">
        <v>180</v>
      </c>
      <c r="D44" s="209">
        <f>D43*(10/14)</f>
        <v>1522808.4014473939</v>
      </c>
      <c r="E44" s="209">
        <f t="shared" ref="E44:H44" si="4">E43*(10/14)</f>
        <v>3796500.3353638216</v>
      </c>
      <c r="F44" s="209">
        <f>F43*(10/14)</f>
        <v>2685289.7520997478</v>
      </c>
      <c r="G44" s="209">
        <f t="shared" si="4"/>
        <v>608026.38961189112</v>
      </c>
      <c r="H44" s="209">
        <f t="shared" si="4"/>
        <v>53571.428571428572</v>
      </c>
      <c r="I44" s="218"/>
      <c r="J44" s="209">
        <f>SUM(D44:H44)</f>
        <v>8666196.3070942834</v>
      </c>
    </row>
    <row r="45" spans="2:18" x14ac:dyDescent="0.25">
      <c r="B45" s="17"/>
      <c r="C45" s="77" t="s">
        <v>35</v>
      </c>
      <c r="D45" s="68" t="s">
        <v>28</v>
      </c>
      <c r="E45" s="68"/>
      <c r="F45" s="68"/>
      <c r="G45" s="68"/>
      <c r="H45" s="68"/>
      <c r="I45" s="69"/>
      <c r="J45" s="75"/>
    </row>
    <row r="46" spans="2:18" x14ac:dyDescent="0.25">
      <c r="B46" s="17"/>
      <c r="C46" s="168" t="s">
        <v>75</v>
      </c>
      <c r="D46" s="169">
        <f>0.1025*D43</f>
        <v>218523.00560770099</v>
      </c>
      <c r="E46" s="169">
        <f>0.1025*E43</f>
        <v>544797.79812470835</v>
      </c>
      <c r="F46" s="169">
        <f>0.1025*F43</f>
        <v>385339.07942631375</v>
      </c>
      <c r="G46" s="169">
        <f>0.1025*G43</f>
        <v>87251.786909306364</v>
      </c>
      <c r="H46" s="169">
        <f>0.1025*H43</f>
        <v>7687.4999999999991</v>
      </c>
      <c r="I46" s="69"/>
      <c r="J46" s="169">
        <f t="shared" ref="J46:J49" si="5">SUM(D46:H46)</f>
        <v>1243599.1700680295</v>
      </c>
    </row>
    <row r="47" spans="2:18" ht="75" x14ac:dyDescent="0.25">
      <c r="B47" s="17"/>
      <c r="C47" s="168" t="s">
        <v>76</v>
      </c>
      <c r="D47" s="169"/>
      <c r="E47" s="169">
        <v>300000</v>
      </c>
      <c r="F47" s="169"/>
      <c r="G47" s="169"/>
      <c r="H47" s="169"/>
      <c r="I47" s="69"/>
      <c r="J47" s="169">
        <f t="shared" si="5"/>
        <v>300000</v>
      </c>
    </row>
    <row r="48" spans="2:18" x14ac:dyDescent="0.25">
      <c r="B48" s="17"/>
      <c r="C48" s="68"/>
      <c r="D48" s="75"/>
      <c r="E48" s="75"/>
      <c r="F48" s="75"/>
      <c r="G48" s="75"/>
      <c r="H48" s="75"/>
      <c r="I48" s="69"/>
      <c r="J48" s="75">
        <f t="shared" si="5"/>
        <v>0</v>
      </c>
    </row>
    <row r="49" spans="2:12" x14ac:dyDescent="0.25">
      <c r="B49" s="18"/>
      <c r="C49" s="76" t="s">
        <v>16</v>
      </c>
      <c r="D49" s="100">
        <f>SUM(D46:D48)</f>
        <v>218523.00560770099</v>
      </c>
      <c r="E49" s="100">
        <f>SUM(E46:E48)</f>
        <v>844797.79812470835</v>
      </c>
      <c r="F49" s="100">
        <f>SUM(F46:F48)</f>
        <v>385339.07942631375</v>
      </c>
      <c r="G49" s="100">
        <f>SUM(G46:G48)</f>
        <v>87251.786909306364</v>
      </c>
      <c r="H49" s="100">
        <f>SUM(H46:H48)</f>
        <v>7687.4999999999991</v>
      </c>
      <c r="I49" s="69"/>
      <c r="J49" s="100">
        <f t="shared" si="5"/>
        <v>1543599.1700680295</v>
      </c>
    </row>
    <row r="50" spans="2:12" x14ac:dyDescent="0.25">
      <c r="B50" s="17"/>
      <c r="C50" s="200" t="s">
        <v>17</v>
      </c>
      <c r="D50" s="201">
        <f>SUM(D49,D43,D34,D30,D26,D16,D11)</f>
        <v>2426306.0176340523</v>
      </c>
      <c r="E50" s="201">
        <f>SUM(E49,E43,E34,E30,E26,E16,E11)</f>
        <v>6291279.7676340584</v>
      </c>
      <c r="F50" s="201">
        <f>SUM(F49,F43,F34,F30,F26,F16,F11)</f>
        <v>4220595.9823659603</v>
      </c>
      <c r="G50" s="201">
        <f>SUM(G49,G43,G34,G30,G26,G16,G11)</f>
        <v>958809.73236595397</v>
      </c>
      <c r="H50" s="201">
        <f>SUM(H49,H43,H34,H30,H26,H16,H11)</f>
        <v>103008.5</v>
      </c>
      <c r="I50" s="69"/>
      <c r="J50" s="201">
        <f>SUM(D50:H50)</f>
        <v>14000000.000000026</v>
      </c>
    </row>
    <row r="51" spans="2:12" x14ac:dyDescent="0.25">
      <c r="B51" s="47"/>
      <c r="C51" s="213" t="s">
        <v>181</v>
      </c>
      <c r="D51" s="224">
        <f>D49+D44+D34+D30+D26+D16+D11</f>
        <v>1817182.6570550948</v>
      </c>
      <c r="E51" s="224">
        <f t="shared" ref="E51:H51" si="6">E49+E44+E34+E30+E26+E16+E11</f>
        <v>4772679.6334885303</v>
      </c>
      <c r="F51" s="224">
        <f t="shared" si="6"/>
        <v>3146480.0815260615</v>
      </c>
      <c r="G51" s="224">
        <f t="shared" si="6"/>
        <v>715599.17652119743</v>
      </c>
      <c r="H51" s="224">
        <f t="shared" si="6"/>
        <v>81579.92857142858</v>
      </c>
      <c r="I51" s="213"/>
      <c r="J51" s="225">
        <f>SUM(D51:H51)</f>
        <v>10533521.477162313</v>
      </c>
    </row>
    <row r="52" spans="2:12" s="54" customFormat="1" x14ac:dyDescent="0.25">
      <c r="B52" s="227"/>
      <c r="C52" s="104"/>
      <c r="D52" s="171"/>
      <c r="E52" s="171"/>
      <c r="F52" s="171"/>
      <c r="G52" s="171"/>
      <c r="H52" s="171"/>
      <c r="I52" s="104"/>
      <c r="J52" s="171"/>
      <c r="L52" s="173"/>
    </row>
    <row r="53" spans="2:12" x14ac:dyDescent="0.25">
      <c r="B53" s="50" t="s">
        <v>36</v>
      </c>
      <c r="C53" s="78" t="s">
        <v>36</v>
      </c>
      <c r="D53" s="70"/>
      <c r="E53" s="70"/>
      <c r="F53" s="70"/>
      <c r="G53" s="70"/>
      <c r="H53" s="70"/>
      <c r="I53" s="69"/>
      <c r="J53" s="70" t="s">
        <v>18</v>
      </c>
    </row>
    <row r="54" spans="2:12" x14ac:dyDescent="0.25">
      <c r="B54" s="17"/>
      <c r="C54" s="74"/>
      <c r="D54" s="68"/>
      <c r="E54" s="68"/>
      <c r="F54" s="68"/>
      <c r="G54" s="68"/>
      <c r="H54" s="68"/>
      <c r="I54" s="69"/>
      <c r="J54" s="75">
        <f>SUM(D54:H54)</f>
        <v>0</v>
      </c>
    </row>
    <row r="55" spans="2:12" x14ac:dyDescent="0.25">
      <c r="B55" s="17"/>
      <c r="C55" s="74"/>
      <c r="D55" s="68"/>
      <c r="E55" s="68"/>
      <c r="F55" s="68"/>
      <c r="G55" s="68"/>
      <c r="H55" s="68"/>
      <c r="I55" s="69"/>
      <c r="J55" s="75">
        <f>SUM(D55:H55)</f>
        <v>0</v>
      </c>
    </row>
    <row r="56" spans="2:12" x14ac:dyDescent="0.25">
      <c r="B56" s="18"/>
      <c r="C56" s="76" t="s">
        <v>19</v>
      </c>
      <c r="D56" s="100">
        <f>SUM(D54:D55)</f>
        <v>0</v>
      </c>
      <c r="E56" s="100">
        <f>SUM(E54:E55)</f>
        <v>0</v>
      </c>
      <c r="F56" s="100">
        <f>SUM(F54:F55)</f>
        <v>0</v>
      </c>
      <c r="G56" s="100">
        <f>SUM(G54:G55)</f>
        <v>0</v>
      </c>
      <c r="H56" s="100">
        <f>SUM(H54:H55)</f>
        <v>0</v>
      </c>
      <c r="I56" s="69"/>
      <c r="J56" s="100">
        <f>SUM(D56:H56)</f>
        <v>0</v>
      </c>
    </row>
    <row r="57" spans="2:12" ht="15.75" thickBot="1" x14ac:dyDescent="0.3">
      <c r="B57" s="6"/>
      <c r="C57" s="69"/>
      <c r="D57" s="69"/>
      <c r="E57" s="69"/>
      <c r="F57" s="69"/>
      <c r="G57" s="69"/>
      <c r="H57" s="69"/>
      <c r="I57" s="69"/>
      <c r="J57" s="69" t="s">
        <v>18</v>
      </c>
    </row>
    <row r="58" spans="2:12" x14ac:dyDescent="0.25">
      <c r="B58" s="164" t="s">
        <v>20</v>
      </c>
      <c r="C58" s="165"/>
      <c r="D58" s="166">
        <f>SUM(D56,D50)</f>
        <v>2426306.0176340523</v>
      </c>
      <c r="E58" s="166">
        <f t="shared" ref="E58:H58" si="7">SUM(E56,E50)</f>
        <v>6291279.7676340584</v>
      </c>
      <c r="F58" s="166">
        <f t="shared" si="7"/>
        <v>4220595.9823659603</v>
      </c>
      <c r="G58" s="166">
        <f t="shared" si="7"/>
        <v>958809.73236595397</v>
      </c>
      <c r="H58" s="166">
        <f t="shared" si="7"/>
        <v>103008.5</v>
      </c>
      <c r="I58" s="69"/>
      <c r="J58" s="166">
        <f>SUM(J56,J50)</f>
        <v>14000000.000000026</v>
      </c>
    </row>
    <row r="59" spans="2:12" x14ac:dyDescent="0.25">
      <c r="B59" s="219" t="s">
        <v>152</v>
      </c>
      <c r="C59" s="220"/>
      <c r="D59" s="221">
        <f>D51+D56</f>
        <v>1817182.6570550948</v>
      </c>
      <c r="E59" s="221">
        <f t="shared" ref="E59:H59" si="8">E51+E56</f>
        <v>4772679.6334885303</v>
      </c>
      <c r="F59" s="221">
        <f t="shared" si="8"/>
        <v>3146480.0815260615</v>
      </c>
      <c r="G59" s="221">
        <f t="shared" si="8"/>
        <v>715599.17652119743</v>
      </c>
      <c r="H59" s="221">
        <f t="shared" si="8"/>
        <v>81579.92857142858</v>
      </c>
      <c r="I59" s="222"/>
      <c r="J59" s="223">
        <f>SUM(D59:H59)</f>
        <v>10533521.477162313</v>
      </c>
    </row>
    <row r="60" spans="2:12" s="1" customFormat="1" x14ac:dyDescent="0.25">
      <c r="B60" s="6"/>
      <c r="C60"/>
      <c r="D60" s="6"/>
      <c r="E60" s="2"/>
      <c r="F60"/>
      <c r="G60"/>
      <c r="H60" s="2"/>
      <c r="I60" s="7"/>
      <c r="J60"/>
      <c r="L60" s="112"/>
    </row>
    <row r="61" spans="2:12" x14ac:dyDescent="0.25">
      <c r="B61" s="6"/>
    </row>
    <row r="62" spans="2:12" x14ac:dyDescent="0.25">
      <c r="B62" s="6"/>
      <c r="D62" s="197"/>
    </row>
    <row r="63" spans="2:12" x14ac:dyDescent="0.25">
      <c r="B63" s="6"/>
    </row>
    <row r="64" spans="2:12"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mergeCells count="1">
    <mergeCell ref="B3:J3"/>
  </mergeCells>
  <pageMargins left="0.7" right="0.7" top="0.75" bottom="0.75" header="0.3" footer="0.3"/>
  <pageSetup scale="97" fitToHeight="0" orientation="landscape" r:id="rId1"/>
  <ignoredErrors>
    <ignoredError sqref="E39"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2:AM77"/>
  <sheetViews>
    <sheetView showGridLines="0" topLeftCell="A37" zoomScale="77" zoomScaleNormal="77" workbookViewId="0">
      <selection activeCell="K17" sqref="K17"/>
    </sheetView>
  </sheetViews>
  <sheetFormatPr defaultColWidth="9.140625" defaultRowHeight="15" x14ac:dyDescent="0.25"/>
  <cols>
    <col min="1" max="1" width="3.140625" customWidth="1"/>
    <col min="2" max="2" width="10.140625" customWidth="1"/>
    <col min="3" max="3" width="35.4257812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2.85546875" customWidth="1"/>
    <col min="11" max="11" width="10.140625" customWidth="1"/>
  </cols>
  <sheetData>
    <row r="2" spans="2:39" ht="23.25" x14ac:dyDescent="0.35">
      <c r="B2" s="20" t="s">
        <v>175</v>
      </c>
    </row>
    <row r="3" spans="2:39" x14ac:dyDescent="0.25">
      <c r="B3" s="5"/>
    </row>
    <row r="4" spans="2:39" x14ac:dyDescent="0.25">
      <c r="B4" s="5"/>
    </row>
    <row r="5" spans="2:39" ht="18.75" x14ac:dyDescent="0.3">
      <c r="B5" s="26" t="s">
        <v>77</v>
      </c>
      <c r="C5" s="27"/>
      <c r="D5" s="27"/>
      <c r="E5" s="27"/>
      <c r="F5" s="27"/>
      <c r="G5" s="27"/>
      <c r="H5" s="27"/>
      <c r="I5" s="27"/>
      <c r="J5" s="28"/>
    </row>
    <row r="6" spans="2:39" ht="30" x14ac:dyDescent="0.25">
      <c r="B6" s="29" t="s">
        <v>1</v>
      </c>
      <c r="C6" s="29" t="s">
        <v>2</v>
      </c>
      <c r="D6" s="29" t="s">
        <v>3</v>
      </c>
      <c r="E6" s="30" t="s">
        <v>4</v>
      </c>
      <c r="F6" s="30" t="s">
        <v>5</v>
      </c>
      <c r="G6" s="30" t="s">
        <v>6</v>
      </c>
      <c r="H6" s="31" t="s">
        <v>7</v>
      </c>
      <c r="I6" s="32"/>
      <c r="J6" s="33" t="s">
        <v>8</v>
      </c>
    </row>
    <row r="7" spans="2:39" s="5" customFormat="1" ht="30" x14ac:dyDescent="0.25">
      <c r="B7" s="50" t="s">
        <v>9</v>
      </c>
      <c r="C7" s="67" t="s">
        <v>27</v>
      </c>
      <c r="D7" s="68" t="s">
        <v>28</v>
      </c>
      <c r="E7" s="68" t="s">
        <v>28</v>
      </c>
      <c r="F7" s="68" t="s">
        <v>28</v>
      </c>
      <c r="G7" s="68"/>
      <c r="H7" s="68" t="s">
        <v>28</v>
      </c>
      <c r="I7" s="69"/>
      <c r="J7" s="70" t="s">
        <v>28</v>
      </c>
      <c r="K7"/>
      <c r="L7"/>
      <c r="M7"/>
      <c r="N7"/>
      <c r="O7"/>
      <c r="P7"/>
      <c r="Q7"/>
      <c r="R7"/>
      <c r="S7"/>
      <c r="T7"/>
      <c r="U7"/>
      <c r="V7"/>
      <c r="W7"/>
      <c r="X7"/>
      <c r="Y7"/>
      <c r="Z7"/>
      <c r="AA7"/>
      <c r="AB7"/>
      <c r="AC7"/>
      <c r="AD7"/>
      <c r="AE7"/>
      <c r="AF7"/>
      <c r="AG7"/>
      <c r="AH7"/>
      <c r="AI7"/>
      <c r="AJ7"/>
      <c r="AK7"/>
      <c r="AL7"/>
      <c r="AM7"/>
    </row>
    <row r="8" spans="2:39" ht="30" x14ac:dyDescent="0.25">
      <c r="B8" s="17"/>
      <c r="C8" s="74" t="s">
        <v>178</v>
      </c>
      <c r="D8" s="75">
        <f>105000*0.25</f>
        <v>26250</v>
      </c>
      <c r="E8" s="75">
        <v>27825</v>
      </c>
      <c r="F8" s="75"/>
      <c r="G8" s="75"/>
      <c r="H8" s="75"/>
      <c r="I8" s="73"/>
      <c r="J8" s="75">
        <f>SUM(D8:H8)</f>
        <v>54075</v>
      </c>
    </row>
    <row r="9" spans="2:39" ht="30" x14ac:dyDescent="0.25">
      <c r="B9" s="17"/>
      <c r="C9" s="74" t="s">
        <v>179</v>
      </c>
      <c r="D9" s="75">
        <v>19000</v>
      </c>
      <c r="E9" s="75">
        <v>20140</v>
      </c>
      <c r="F9" s="75"/>
      <c r="G9" s="75"/>
      <c r="H9" s="75"/>
      <c r="I9" s="69"/>
      <c r="J9" s="75">
        <f>SUM(D9:H9)</f>
        <v>39140</v>
      </c>
    </row>
    <row r="10" spans="2:39" x14ac:dyDescent="0.25">
      <c r="B10" s="17"/>
      <c r="C10" s="74" t="s">
        <v>78</v>
      </c>
      <c r="D10" s="75"/>
      <c r="E10" s="75"/>
      <c r="F10" s="75"/>
      <c r="G10" s="75"/>
      <c r="H10" s="75"/>
      <c r="I10" s="69"/>
      <c r="J10" s="75">
        <f>SUM(D10:H10)</f>
        <v>0</v>
      </c>
    </row>
    <row r="11" spans="2:39" x14ac:dyDescent="0.25">
      <c r="B11" s="17"/>
      <c r="C11" s="74"/>
      <c r="D11" s="75"/>
      <c r="E11" s="75"/>
      <c r="F11" s="75"/>
      <c r="G11" s="75"/>
      <c r="H11" s="75"/>
      <c r="I11" s="69"/>
      <c r="J11" s="75">
        <f>SUM(D11:H11)</f>
        <v>0</v>
      </c>
    </row>
    <row r="12" spans="2:39" x14ac:dyDescent="0.25">
      <c r="B12" s="17"/>
      <c r="C12" s="76" t="s">
        <v>10</v>
      </c>
      <c r="D12" s="100">
        <f>SUM(D8:D10)</f>
        <v>45250</v>
      </c>
      <c r="E12" s="100">
        <f>SUM(E8:E10)</f>
        <v>47965</v>
      </c>
      <c r="F12" s="100">
        <f t="shared" ref="F12:H12" si="0">SUM(F8:F10)</f>
        <v>0</v>
      </c>
      <c r="G12" s="100">
        <f t="shared" si="0"/>
        <v>0</v>
      </c>
      <c r="H12" s="100">
        <f t="shared" si="0"/>
        <v>0</v>
      </c>
      <c r="I12" s="69"/>
      <c r="J12" s="100">
        <f>SUM(D12:H12)</f>
        <v>93215</v>
      </c>
    </row>
    <row r="13" spans="2:39" x14ac:dyDescent="0.25">
      <c r="B13" s="17"/>
      <c r="C13" s="77" t="s">
        <v>29</v>
      </c>
      <c r="D13" s="68" t="s">
        <v>28</v>
      </c>
      <c r="E13" s="68"/>
      <c r="F13" s="68"/>
      <c r="G13" s="68"/>
      <c r="H13" s="68"/>
      <c r="I13" s="69"/>
      <c r="J13" s="70" t="s">
        <v>28</v>
      </c>
    </row>
    <row r="14" spans="2:39" x14ac:dyDescent="0.25">
      <c r="B14" s="17"/>
      <c r="C14" s="74" t="s">
        <v>79</v>
      </c>
      <c r="D14" s="75">
        <f>D12*0.325</f>
        <v>14706.25</v>
      </c>
      <c r="E14" s="75">
        <f>E12*0.325</f>
        <v>15588.625</v>
      </c>
      <c r="F14" s="75"/>
      <c r="G14" s="75"/>
      <c r="H14" s="75"/>
      <c r="I14" s="69"/>
      <c r="J14" s="75">
        <f>SUM(D14:H14)</f>
        <v>30294.875</v>
      </c>
    </row>
    <row r="15" spans="2:39" x14ac:dyDescent="0.25">
      <c r="B15" s="17"/>
      <c r="C15" s="74"/>
      <c r="D15" s="75"/>
      <c r="E15" s="75"/>
      <c r="F15" s="75"/>
      <c r="G15" s="75"/>
      <c r="H15" s="75"/>
      <c r="I15" s="69"/>
      <c r="J15" s="75">
        <f t="shared" ref="J15:J16" si="1">SUM(D15:H15)</f>
        <v>0</v>
      </c>
    </row>
    <row r="16" spans="2:39" x14ac:dyDescent="0.25">
      <c r="B16" s="17"/>
      <c r="C16" s="68"/>
      <c r="D16" s="75"/>
      <c r="E16" s="75"/>
      <c r="F16" s="75"/>
      <c r="G16" s="75"/>
      <c r="H16" s="75"/>
      <c r="I16" s="69"/>
      <c r="J16" s="75">
        <f t="shared" si="1"/>
        <v>0</v>
      </c>
    </row>
    <row r="17" spans="2:11" x14ac:dyDescent="0.25">
      <c r="B17" s="17"/>
      <c r="C17" s="76" t="s">
        <v>11</v>
      </c>
      <c r="D17" s="100">
        <f>SUM(D14:D16)</f>
        <v>14706.25</v>
      </c>
      <c r="E17" s="100">
        <f t="shared" ref="E17:J17" si="2">SUM(E14:E16)</f>
        <v>15588.625</v>
      </c>
      <c r="F17" s="100">
        <f t="shared" si="2"/>
        <v>0</v>
      </c>
      <c r="G17" s="100">
        <f t="shared" si="2"/>
        <v>0</v>
      </c>
      <c r="H17" s="100">
        <f t="shared" si="2"/>
        <v>0</v>
      </c>
      <c r="I17" s="69"/>
      <c r="J17" s="100">
        <f t="shared" si="2"/>
        <v>30294.875</v>
      </c>
      <c r="K17" s="24"/>
    </row>
    <row r="18" spans="2:11" x14ac:dyDescent="0.25">
      <c r="B18" s="17"/>
      <c r="C18" s="77" t="s">
        <v>30</v>
      </c>
      <c r="D18" s="68" t="s">
        <v>28</v>
      </c>
      <c r="E18" s="68"/>
      <c r="F18" s="68"/>
      <c r="G18" s="68"/>
      <c r="H18" s="68"/>
      <c r="I18" s="69"/>
      <c r="J18" s="70" t="s">
        <v>28</v>
      </c>
    </row>
    <row r="19" spans="2:11" x14ac:dyDescent="0.25">
      <c r="B19" s="17"/>
      <c r="C19" s="74"/>
      <c r="D19" s="75"/>
      <c r="E19" s="75"/>
      <c r="F19" s="75"/>
      <c r="G19" s="75"/>
      <c r="H19" s="75"/>
      <c r="I19" s="69"/>
      <c r="J19" s="75">
        <f>SUM(D19:H19)</f>
        <v>0</v>
      </c>
    </row>
    <row r="20" spans="2:11" x14ac:dyDescent="0.25">
      <c r="B20" s="17"/>
      <c r="C20" s="101"/>
      <c r="D20" s="75"/>
      <c r="E20" s="75"/>
      <c r="F20" s="75"/>
      <c r="G20" s="75"/>
      <c r="H20" s="75"/>
      <c r="I20" s="73"/>
      <c r="J20" s="75">
        <f t="shared" ref="J20:J21" si="3">SUM(D20:H20)</f>
        <v>0</v>
      </c>
    </row>
    <row r="21" spans="2:11" x14ac:dyDescent="0.25">
      <c r="B21" s="17"/>
      <c r="C21" s="74"/>
      <c r="D21" s="75"/>
      <c r="E21" s="75"/>
      <c r="F21" s="75"/>
      <c r="G21" s="75"/>
      <c r="H21" s="75"/>
      <c r="I21" s="73"/>
      <c r="J21" s="75">
        <f t="shared" si="3"/>
        <v>0</v>
      </c>
    </row>
    <row r="22" spans="2:11" x14ac:dyDescent="0.25">
      <c r="B22" s="17"/>
      <c r="C22" s="76" t="s">
        <v>12</v>
      </c>
      <c r="D22" s="100">
        <f>SUM(D20:D21)</f>
        <v>0</v>
      </c>
      <c r="E22" s="100">
        <f>SUM(E20:E21)</f>
        <v>0</v>
      </c>
      <c r="F22" s="100">
        <f>SUM(F20:F21)</f>
        <v>0</v>
      </c>
      <c r="G22" s="100">
        <f>SUM(G20:G21)</f>
        <v>0</v>
      </c>
      <c r="H22" s="100">
        <f>SUM(H20:H21)</f>
        <v>0</v>
      </c>
      <c r="I22" s="69"/>
      <c r="J22" s="100">
        <f>SUM(J19:J21)</f>
        <v>0</v>
      </c>
    </row>
    <row r="23" spans="2:11" x14ac:dyDescent="0.25">
      <c r="B23" s="17"/>
      <c r="C23" s="77" t="s">
        <v>31</v>
      </c>
      <c r="D23" s="75"/>
      <c r="E23" s="68"/>
      <c r="F23" s="68"/>
      <c r="G23" s="68"/>
      <c r="H23" s="68"/>
      <c r="I23" s="69"/>
      <c r="J23" s="75" t="s">
        <v>18</v>
      </c>
    </row>
    <row r="24" spans="2:11" x14ac:dyDescent="0.25">
      <c r="B24" s="17"/>
      <c r="C24" s="74"/>
      <c r="D24" s="75"/>
      <c r="E24" s="68"/>
      <c r="F24" s="68"/>
      <c r="G24" s="68"/>
      <c r="H24" s="68"/>
      <c r="I24" s="69"/>
      <c r="J24" s="75">
        <f>SUM(D24:H24)</f>
        <v>0</v>
      </c>
    </row>
    <row r="25" spans="2:11" x14ac:dyDescent="0.25">
      <c r="B25" s="17" t="s">
        <v>32</v>
      </c>
      <c r="C25" s="68" t="s">
        <v>32</v>
      </c>
      <c r="D25" s="68" t="s">
        <v>28</v>
      </c>
      <c r="E25" s="68"/>
      <c r="F25" s="68"/>
      <c r="G25" s="68"/>
      <c r="H25" s="68"/>
      <c r="I25" s="69"/>
      <c r="J25" s="75">
        <f t="shared" ref="J25:J51" si="4">SUM(D25:H25)</f>
        <v>0</v>
      </c>
    </row>
    <row r="26" spans="2:11" x14ac:dyDescent="0.25">
      <c r="B26" s="17"/>
      <c r="C26" s="76" t="s">
        <v>13</v>
      </c>
      <c r="D26" s="103">
        <f>SUM(D24:D25)</f>
        <v>0</v>
      </c>
      <c r="E26" s="103">
        <f t="shared" ref="E26:H26" si="5">SUM(E24:E25)</f>
        <v>0</v>
      </c>
      <c r="F26" s="103">
        <f t="shared" si="5"/>
        <v>0</v>
      </c>
      <c r="G26" s="103">
        <f t="shared" si="5"/>
        <v>0</v>
      </c>
      <c r="H26" s="103">
        <f t="shared" si="5"/>
        <v>0</v>
      </c>
      <c r="I26" s="69"/>
      <c r="J26" s="100">
        <f>SUM(J24:J25)</f>
        <v>0</v>
      </c>
    </row>
    <row r="27" spans="2:11" x14ac:dyDescent="0.25">
      <c r="B27" s="17"/>
      <c r="C27" s="77" t="s">
        <v>33</v>
      </c>
      <c r="D27" s="68" t="s">
        <v>28</v>
      </c>
      <c r="E27" s="68"/>
      <c r="F27" s="68"/>
      <c r="G27" s="68"/>
      <c r="H27" s="68"/>
      <c r="I27" s="69"/>
      <c r="J27" s="75"/>
    </row>
    <row r="28" spans="2:11" x14ac:dyDescent="0.25">
      <c r="B28" s="17"/>
      <c r="C28" s="74"/>
      <c r="D28" s="75"/>
      <c r="E28" s="75"/>
      <c r="F28" s="75"/>
      <c r="G28" s="75"/>
      <c r="H28" s="75"/>
      <c r="I28" s="73"/>
      <c r="J28" s="75">
        <f t="shared" si="4"/>
        <v>0</v>
      </c>
    </row>
    <row r="29" spans="2:11" x14ac:dyDescent="0.25">
      <c r="B29" s="17"/>
      <c r="C29" s="74"/>
      <c r="D29" s="75"/>
      <c r="E29" s="75"/>
      <c r="F29" s="75"/>
      <c r="G29" s="75"/>
      <c r="H29" s="75"/>
      <c r="I29" s="69"/>
      <c r="J29" s="75">
        <f t="shared" si="4"/>
        <v>0</v>
      </c>
    </row>
    <row r="30" spans="2:11" x14ac:dyDescent="0.25">
      <c r="B30" s="17"/>
      <c r="C30" s="76" t="s">
        <v>14</v>
      </c>
      <c r="D30" s="100">
        <f>SUM(D28:D29)</f>
        <v>0</v>
      </c>
      <c r="E30" s="100">
        <f t="shared" ref="E30:H30" si="6">SUM(E28:E29)</f>
        <v>0</v>
      </c>
      <c r="F30" s="100">
        <f t="shared" si="6"/>
        <v>0</v>
      </c>
      <c r="G30" s="100">
        <f t="shared" si="6"/>
        <v>0</v>
      </c>
      <c r="H30" s="100">
        <f t="shared" si="6"/>
        <v>0</v>
      </c>
      <c r="I30" s="69"/>
      <c r="J30" s="100">
        <f>SUM(J28:J29)</f>
        <v>0</v>
      </c>
    </row>
    <row r="31" spans="2:11" x14ac:dyDescent="0.25">
      <c r="B31" s="17"/>
      <c r="C31" s="77" t="s">
        <v>34</v>
      </c>
      <c r="D31" s="68" t="s">
        <v>28</v>
      </c>
      <c r="E31" s="68"/>
      <c r="F31" s="68"/>
      <c r="G31" s="68"/>
      <c r="H31" s="68"/>
      <c r="I31" s="69"/>
      <c r="J31" s="75"/>
    </row>
    <row r="32" spans="2:11" ht="30" x14ac:dyDescent="0.25">
      <c r="B32" s="17"/>
      <c r="C32" s="74" t="s">
        <v>204</v>
      </c>
      <c r="D32" s="75"/>
      <c r="E32" s="75"/>
      <c r="F32" s="75"/>
      <c r="G32" s="75"/>
      <c r="H32" s="75"/>
      <c r="I32" s="73"/>
      <c r="J32" s="75"/>
    </row>
    <row r="33" spans="2:10" x14ac:dyDescent="0.25">
      <c r="B33" s="17"/>
      <c r="C33" s="178" t="s">
        <v>80</v>
      </c>
      <c r="D33" s="75">
        <f>50000+25000</f>
        <v>75000</v>
      </c>
      <c r="E33" s="75"/>
      <c r="F33" s="75"/>
      <c r="G33" s="75"/>
      <c r="H33" s="75"/>
      <c r="I33" s="73"/>
      <c r="J33" s="75">
        <f t="shared" si="4"/>
        <v>75000</v>
      </c>
    </row>
    <row r="34" spans="2:10" x14ac:dyDescent="0.25">
      <c r="B34" s="17"/>
      <c r="C34" s="178" t="s">
        <v>81</v>
      </c>
      <c r="D34" s="75">
        <f>285000+68000</f>
        <v>353000</v>
      </c>
      <c r="E34" s="75"/>
      <c r="F34" s="75"/>
      <c r="G34" s="75"/>
      <c r="H34" s="75"/>
      <c r="I34" s="73"/>
      <c r="J34" s="75">
        <f t="shared" si="4"/>
        <v>353000</v>
      </c>
    </row>
    <row r="35" spans="2:10" x14ac:dyDescent="0.25">
      <c r="B35" s="17"/>
      <c r="C35" s="178" t="s">
        <v>82</v>
      </c>
      <c r="D35" s="75"/>
      <c r="E35" s="75">
        <f>760000+451512</f>
        <v>1211512</v>
      </c>
      <c r="F35" s="75"/>
      <c r="G35" s="75"/>
      <c r="H35" s="75"/>
      <c r="I35" s="73"/>
      <c r="J35" s="75">
        <f t="shared" si="4"/>
        <v>1211512</v>
      </c>
    </row>
    <row r="36" spans="2:10" x14ac:dyDescent="0.25">
      <c r="B36" s="17"/>
      <c r="C36" s="178" t="s">
        <v>83</v>
      </c>
      <c r="D36" s="75">
        <f>10000+10000</f>
        <v>20000</v>
      </c>
      <c r="E36" s="75">
        <f>61428+61428</f>
        <v>122856</v>
      </c>
      <c r="F36" s="75"/>
      <c r="G36" s="75"/>
      <c r="H36" s="75"/>
      <c r="I36" s="73"/>
      <c r="J36" s="75">
        <f t="shared" si="4"/>
        <v>142856</v>
      </c>
    </row>
    <row r="37" spans="2:10" x14ac:dyDescent="0.25">
      <c r="B37" s="17"/>
      <c r="C37" s="178" t="s">
        <v>84</v>
      </c>
      <c r="D37" s="75"/>
      <c r="E37" s="75">
        <f>672260+341693</f>
        <v>1013953</v>
      </c>
      <c r="F37" s="75"/>
      <c r="G37" s="75"/>
      <c r="H37" s="75"/>
      <c r="I37" s="73"/>
      <c r="J37" s="75">
        <f t="shared" si="4"/>
        <v>1013953</v>
      </c>
    </row>
    <row r="38" spans="2:10" x14ac:dyDescent="0.25">
      <c r="B38" s="17"/>
      <c r="C38" s="178" t="s">
        <v>85</v>
      </c>
      <c r="D38" s="75">
        <f>29400+14358</f>
        <v>43758</v>
      </c>
      <c r="E38" s="75">
        <f>68600+33502</f>
        <v>102102</v>
      </c>
      <c r="F38" s="75"/>
      <c r="G38" s="75"/>
      <c r="H38" s="75"/>
      <c r="I38" s="73"/>
      <c r="J38" s="75">
        <f t="shared" si="4"/>
        <v>145860</v>
      </c>
    </row>
    <row r="39" spans="2:10" x14ac:dyDescent="0.25">
      <c r="B39" s="17"/>
      <c r="C39" s="74" t="s">
        <v>205</v>
      </c>
      <c r="D39" s="75"/>
      <c r="E39" s="75"/>
      <c r="F39" s="75"/>
      <c r="G39" s="75"/>
      <c r="H39" s="75"/>
      <c r="I39" s="73"/>
      <c r="J39" s="75">
        <f t="shared" si="4"/>
        <v>0</v>
      </c>
    </row>
    <row r="40" spans="2:10" x14ac:dyDescent="0.25">
      <c r="B40" s="17"/>
      <c r="C40" s="178" t="s">
        <v>206</v>
      </c>
      <c r="D40" s="75"/>
      <c r="E40" s="75">
        <v>357280</v>
      </c>
      <c r="F40" s="75"/>
      <c r="G40" s="75"/>
      <c r="H40" s="75"/>
      <c r="I40" s="73"/>
      <c r="J40" s="75">
        <f>SUM(D40:H40)</f>
        <v>357280</v>
      </c>
    </row>
    <row r="41" spans="2:10" x14ac:dyDescent="0.25">
      <c r="B41" s="17"/>
      <c r="C41" s="178" t="s">
        <v>207</v>
      </c>
      <c r="D41" s="75"/>
      <c r="E41" s="75">
        <f>129920</f>
        <v>129920</v>
      </c>
      <c r="F41" s="75"/>
      <c r="G41" s="75"/>
      <c r="H41" s="75"/>
      <c r="I41" s="73"/>
      <c r="J41" s="75">
        <f t="shared" ref="J41:J45" si="7">SUM(D41:H41)</f>
        <v>129920</v>
      </c>
    </row>
    <row r="42" spans="2:10" x14ac:dyDescent="0.25">
      <c r="B42" s="17"/>
      <c r="C42" s="214" t="s">
        <v>238</v>
      </c>
      <c r="D42" s="75"/>
      <c r="E42" s="75">
        <v>224000</v>
      </c>
      <c r="F42" s="75"/>
      <c r="G42" s="75"/>
      <c r="H42" s="75"/>
      <c r="I42" s="73"/>
      <c r="J42" s="75">
        <f t="shared" si="7"/>
        <v>224000</v>
      </c>
    </row>
    <row r="43" spans="2:10" x14ac:dyDescent="0.25">
      <c r="B43" s="17"/>
      <c r="C43" s="214" t="s">
        <v>239</v>
      </c>
      <c r="D43" s="75"/>
      <c r="E43" s="75">
        <v>112000</v>
      </c>
      <c r="F43" s="75"/>
      <c r="G43" s="75"/>
      <c r="H43" s="75"/>
      <c r="I43" s="73"/>
      <c r="J43" s="75">
        <f t="shared" si="7"/>
        <v>112000</v>
      </c>
    </row>
    <row r="44" spans="2:10" x14ac:dyDescent="0.25">
      <c r="B44" s="17"/>
      <c r="C44" s="214" t="s">
        <v>240</v>
      </c>
      <c r="D44" s="75">
        <v>90000</v>
      </c>
      <c r="E44" s="75"/>
      <c r="F44" s="75"/>
      <c r="G44" s="75"/>
      <c r="H44" s="75"/>
      <c r="I44" s="73"/>
      <c r="J44" s="75">
        <f t="shared" si="7"/>
        <v>90000</v>
      </c>
    </row>
    <row r="45" spans="2:10" x14ac:dyDescent="0.25">
      <c r="B45" s="17"/>
      <c r="C45" s="214" t="s">
        <v>241</v>
      </c>
      <c r="D45" s="75">
        <v>22000</v>
      </c>
      <c r="E45" s="75"/>
      <c r="F45" s="75"/>
      <c r="G45" s="75"/>
      <c r="H45" s="75"/>
      <c r="I45" s="73"/>
      <c r="J45" s="75">
        <f t="shared" si="7"/>
        <v>22000</v>
      </c>
    </row>
    <row r="46" spans="2:10" x14ac:dyDescent="0.25">
      <c r="B46" s="17"/>
      <c r="C46" s="74"/>
      <c r="D46" s="75"/>
      <c r="E46" s="75"/>
      <c r="F46" s="75"/>
      <c r="G46" s="75"/>
      <c r="H46" s="75"/>
      <c r="I46" s="73"/>
      <c r="J46" s="75">
        <f t="shared" si="4"/>
        <v>0</v>
      </c>
    </row>
    <row r="47" spans="2:10" x14ac:dyDescent="0.25">
      <c r="B47" s="17"/>
      <c r="C47" s="74"/>
      <c r="D47" s="75"/>
      <c r="E47" s="75"/>
      <c r="F47" s="75"/>
      <c r="G47" s="75"/>
      <c r="H47" s="75"/>
      <c r="I47" s="69"/>
      <c r="J47" s="75">
        <f t="shared" si="4"/>
        <v>0</v>
      </c>
    </row>
    <row r="48" spans="2:10" x14ac:dyDescent="0.25">
      <c r="B48" s="17"/>
      <c r="C48" s="76" t="s">
        <v>15</v>
      </c>
      <c r="D48" s="100">
        <f>SUM(D32:D47)</f>
        <v>603758</v>
      </c>
      <c r="E48" s="100">
        <f>SUM(E32:E47)</f>
        <v>3273623</v>
      </c>
      <c r="F48" s="100">
        <f>SUM(F32:F47)</f>
        <v>0</v>
      </c>
      <c r="G48" s="100">
        <f>SUM(G32:G47)</f>
        <v>0</v>
      </c>
      <c r="H48" s="100">
        <f>SUM(H32:H47)</f>
        <v>0</v>
      </c>
      <c r="I48" s="69"/>
      <c r="J48" s="100">
        <f>SUM(D48:H48)</f>
        <v>3877381</v>
      </c>
    </row>
    <row r="49" spans="2:10" x14ac:dyDescent="0.25">
      <c r="B49" s="17"/>
      <c r="C49" s="77" t="s">
        <v>35</v>
      </c>
      <c r="D49" s="68" t="s">
        <v>28</v>
      </c>
      <c r="E49" s="68"/>
      <c r="F49" s="68"/>
      <c r="G49" s="68"/>
      <c r="H49" s="68"/>
      <c r="I49" s="69"/>
      <c r="J49" s="75"/>
    </row>
    <row r="50" spans="2:10" x14ac:dyDescent="0.25">
      <c r="B50" s="17"/>
      <c r="C50" s="74" t="s">
        <v>242</v>
      </c>
      <c r="D50" s="75">
        <v>45200</v>
      </c>
      <c r="E50" s="75">
        <f>81360*1.06</f>
        <v>86241.600000000006</v>
      </c>
      <c r="F50" s="75"/>
      <c r="G50" s="75"/>
      <c r="H50" s="75"/>
      <c r="I50" s="69"/>
      <c r="J50" s="75">
        <f t="shared" si="4"/>
        <v>131441.60000000001</v>
      </c>
    </row>
    <row r="51" spans="2:10" x14ac:dyDescent="0.25">
      <c r="B51" s="17"/>
      <c r="C51" s="74" t="s">
        <v>208</v>
      </c>
      <c r="D51" s="75">
        <f>D48*0.05</f>
        <v>30187.9</v>
      </c>
      <c r="E51" s="75">
        <f>E48*0.05</f>
        <v>163681.15000000002</v>
      </c>
      <c r="F51" s="75"/>
      <c r="G51" s="75"/>
      <c r="H51" s="75"/>
      <c r="I51" s="69"/>
      <c r="J51" s="75">
        <f t="shared" si="4"/>
        <v>193869.05000000002</v>
      </c>
    </row>
    <row r="52" spans="2:10" x14ac:dyDescent="0.25">
      <c r="B52" s="17"/>
      <c r="C52" s="74" t="s">
        <v>86</v>
      </c>
      <c r="D52" s="75">
        <f>D48*0.09</f>
        <v>54338.22</v>
      </c>
      <c r="E52" s="75">
        <f>E48*0.09</f>
        <v>294626.07</v>
      </c>
      <c r="F52" s="75"/>
      <c r="G52" s="75"/>
      <c r="H52" s="75"/>
      <c r="I52" s="69"/>
      <c r="J52" s="75">
        <f>SUM(D52:H52)</f>
        <v>348964.29000000004</v>
      </c>
    </row>
    <row r="53" spans="2:10" x14ac:dyDescent="0.25">
      <c r="B53" s="18"/>
      <c r="C53" s="76" t="s">
        <v>16</v>
      </c>
      <c r="D53" s="100">
        <f>SUM(D50:D52)</f>
        <v>129726.12</v>
      </c>
      <c r="E53" s="100">
        <f t="shared" ref="E53:H53" si="8">SUM(E50:E52)</f>
        <v>544548.82000000007</v>
      </c>
      <c r="F53" s="100">
        <f t="shared" si="8"/>
        <v>0</v>
      </c>
      <c r="G53" s="100">
        <f t="shared" si="8"/>
        <v>0</v>
      </c>
      <c r="H53" s="100">
        <f t="shared" si="8"/>
        <v>0</v>
      </c>
      <c r="I53" s="69"/>
      <c r="J53" s="100">
        <f>SUM(D53:H53)</f>
        <v>674274.94000000006</v>
      </c>
    </row>
    <row r="54" spans="2:10" x14ac:dyDescent="0.25">
      <c r="B54" s="18"/>
      <c r="C54" s="76" t="s">
        <v>17</v>
      </c>
      <c r="D54" s="100">
        <f>SUM(D53,D48,D30,D26,D22,D17,D12)</f>
        <v>793440.37</v>
      </c>
      <c r="E54" s="100">
        <f t="shared" ref="E54:H54" si="9">SUM(E53,E48,E30,E26,E22,E17,E12)</f>
        <v>3881725.4450000003</v>
      </c>
      <c r="F54" s="100">
        <f t="shared" si="9"/>
        <v>0</v>
      </c>
      <c r="G54" s="100">
        <f t="shared" si="9"/>
        <v>0</v>
      </c>
      <c r="H54" s="100">
        <f t="shared" si="9"/>
        <v>0</v>
      </c>
      <c r="I54" s="69"/>
      <c r="J54" s="100">
        <f>SUM(D54:H54)</f>
        <v>4675165.8150000004</v>
      </c>
    </row>
    <row r="55" spans="2:10" x14ac:dyDescent="0.25">
      <c r="B55" s="6"/>
      <c r="C55" s="69"/>
      <c r="D55" s="69"/>
      <c r="E55" s="69"/>
      <c r="F55" s="69"/>
      <c r="G55" s="69"/>
      <c r="H55" s="69"/>
      <c r="I55" s="69"/>
      <c r="J55" s="69" t="s">
        <v>18</v>
      </c>
    </row>
    <row r="56" spans="2:10" ht="30" x14ac:dyDescent="0.25">
      <c r="B56" s="50" t="s">
        <v>36</v>
      </c>
      <c r="C56" s="78" t="s">
        <v>36</v>
      </c>
      <c r="D56" s="70"/>
      <c r="E56" s="70"/>
      <c r="F56" s="70"/>
      <c r="G56" s="70"/>
      <c r="H56" s="70"/>
      <c r="I56" s="69"/>
      <c r="J56" s="70" t="s">
        <v>18</v>
      </c>
    </row>
    <row r="57" spans="2:10" ht="30" x14ac:dyDescent="0.25">
      <c r="B57" s="17"/>
      <c r="C57" s="74" t="s">
        <v>87</v>
      </c>
      <c r="D57" s="75">
        <f>D54*0.04</f>
        <v>31737.614799999999</v>
      </c>
      <c r="E57" s="75">
        <f>E54*0.04</f>
        <v>155269.0178</v>
      </c>
      <c r="F57" s="68"/>
      <c r="G57" s="68"/>
      <c r="H57" s="68"/>
      <c r="I57" s="69"/>
      <c r="J57" s="75">
        <f>SUM(D57:H57)</f>
        <v>187006.63260000001</v>
      </c>
    </row>
    <row r="58" spans="2:10" x14ac:dyDescent="0.25">
      <c r="B58" s="17"/>
      <c r="C58" s="74"/>
      <c r="D58" s="106"/>
      <c r="E58" s="106"/>
      <c r="F58" s="68"/>
      <c r="G58" s="68"/>
      <c r="H58" s="68"/>
      <c r="I58" s="69"/>
      <c r="J58" s="75"/>
    </row>
    <row r="59" spans="2:10" x14ac:dyDescent="0.25">
      <c r="B59" s="17"/>
      <c r="C59" s="74"/>
      <c r="D59" s="68"/>
      <c r="E59" s="68"/>
      <c r="F59" s="68"/>
      <c r="G59" s="68"/>
      <c r="H59" s="68"/>
      <c r="I59" s="69"/>
      <c r="J59" s="75">
        <f t="shared" ref="J59" si="10">SUM(D59:H59)</f>
        <v>0</v>
      </c>
    </row>
    <row r="60" spans="2:10" x14ac:dyDescent="0.25">
      <c r="B60" s="18"/>
      <c r="C60" s="76" t="s">
        <v>19</v>
      </c>
      <c r="D60" s="100">
        <f>SUM(D57:D59)</f>
        <v>31737.614799999999</v>
      </c>
      <c r="E60" s="100">
        <f t="shared" ref="E60:H60" si="11">SUM(E57:E59)</f>
        <v>155269.0178</v>
      </c>
      <c r="F60" s="100">
        <f t="shared" si="11"/>
        <v>0</v>
      </c>
      <c r="G60" s="100">
        <f t="shared" si="11"/>
        <v>0</v>
      </c>
      <c r="H60" s="100">
        <f t="shared" si="11"/>
        <v>0</v>
      </c>
      <c r="I60" s="69"/>
      <c r="J60" s="100">
        <f>SUM(D60:H60)</f>
        <v>187006.63260000001</v>
      </c>
    </row>
    <row r="61" spans="2:10" ht="15.75" thickBot="1" x14ac:dyDescent="0.3">
      <c r="B61" s="6"/>
      <c r="C61" s="69"/>
      <c r="D61" s="69"/>
      <c r="E61" s="69"/>
      <c r="F61" s="69"/>
      <c r="G61" s="69"/>
      <c r="H61" s="69"/>
      <c r="I61" s="69"/>
      <c r="J61" s="69"/>
    </row>
    <row r="62" spans="2:10" s="1" customFormat="1" ht="30.75" thickBot="1" x14ac:dyDescent="0.3">
      <c r="B62" s="14" t="s">
        <v>20</v>
      </c>
      <c r="C62" s="79"/>
      <c r="D62" s="108">
        <f>SUM(D60,D54)</f>
        <v>825177.98479999998</v>
      </c>
      <c r="E62" s="108">
        <f t="shared" ref="E62:H62" si="12">SUM(E60,E54)</f>
        <v>4036994.4628000003</v>
      </c>
      <c r="F62" s="108">
        <f t="shared" si="12"/>
        <v>0</v>
      </c>
      <c r="G62" s="108">
        <f t="shared" si="12"/>
        <v>0</v>
      </c>
      <c r="H62" s="108">
        <f t="shared" si="12"/>
        <v>0</v>
      </c>
      <c r="I62" s="69"/>
      <c r="J62" s="108">
        <f>SUM(J60,J54)</f>
        <v>4862172.4476000005</v>
      </c>
    </row>
    <row r="63" spans="2:10" x14ac:dyDescent="0.25">
      <c r="B63" s="6"/>
    </row>
    <row r="64" spans="2:10" x14ac:dyDescent="0.25">
      <c r="B64" s="6"/>
      <c r="J64" s="24"/>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row r="75" spans="2:2" x14ac:dyDescent="0.25">
      <c r="B75" s="6"/>
    </row>
    <row r="76" spans="2:2" x14ac:dyDescent="0.25">
      <c r="B76" s="6"/>
    </row>
    <row r="77" spans="2:2" x14ac:dyDescent="0.25">
      <c r="B77" s="6"/>
    </row>
  </sheetData>
  <pageMargins left="0.7" right="0.7" top="0.75" bottom="0.75" header="0.3" footer="0.3"/>
  <pageSetup scale="9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2:AM77"/>
  <sheetViews>
    <sheetView showGridLines="0" zoomScale="85" zoomScaleNormal="85" workbookViewId="0">
      <pane xSplit="3" ySplit="6" topLeftCell="D43" activePane="bottomRight" state="frozen"/>
      <selection activeCell="R20" sqref="R20:W20"/>
      <selection pane="topRight" activeCell="R20" sqref="R20:W20"/>
      <selection pane="bottomLeft" activeCell="R20" sqref="R20:W20"/>
      <selection pane="bottomRight" activeCell="C37" sqref="C37:J38"/>
    </sheetView>
  </sheetViews>
  <sheetFormatPr defaultColWidth="9.140625" defaultRowHeight="15" x14ac:dyDescent="0.2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style="7" customWidth="1"/>
    <col min="10" max="10" width="14.5703125" customWidth="1"/>
    <col min="11" max="11" width="54" customWidth="1"/>
  </cols>
  <sheetData>
    <row r="2" spans="2:39" ht="23.25" x14ac:dyDescent="0.35">
      <c r="B2" s="20" t="s">
        <v>174</v>
      </c>
    </row>
    <row r="3" spans="2:39" x14ac:dyDescent="0.25">
      <c r="B3" s="80"/>
    </row>
    <row r="4" spans="2:39" x14ac:dyDescent="0.25">
      <c r="B4" s="5"/>
    </row>
    <row r="5" spans="2:39" ht="18.75" x14ac:dyDescent="0.3">
      <c r="B5" s="26" t="s">
        <v>0</v>
      </c>
      <c r="C5" s="27"/>
      <c r="D5" s="27"/>
      <c r="E5" s="27"/>
      <c r="F5" s="27"/>
      <c r="G5" s="27"/>
      <c r="H5" s="27"/>
      <c r="I5" s="27"/>
      <c r="J5" s="28"/>
    </row>
    <row r="6" spans="2:39" x14ac:dyDescent="0.25">
      <c r="B6" s="29" t="s">
        <v>1</v>
      </c>
      <c r="C6" s="29" t="s">
        <v>2</v>
      </c>
      <c r="D6" s="29" t="s">
        <v>3</v>
      </c>
      <c r="E6" s="30" t="s">
        <v>4</v>
      </c>
      <c r="F6" s="30" t="s">
        <v>5</v>
      </c>
      <c r="G6" s="30" t="s">
        <v>6</v>
      </c>
      <c r="H6" s="31" t="s">
        <v>7</v>
      </c>
      <c r="I6" s="32"/>
      <c r="J6" s="33" t="s">
        <v>8</v>
      </c>
    </row>
    <row r="7" spans="2:39" s="5" customFormat="1" x14ac:dyDescent="0.25">
      <c r="B7" s="16" t="s">
        <v>9</v>
      </c>
      <c r="C7" s="67" t="s">
        <v>27</v>
      </c>
      <c r="D7" s="68" t="s">
        <v>28</v>
      </c>
      <c r="E7" s="68" t="s">
        <v>28</v>
      </c>
      <c r="F7" s="68" t="s">
        <v>28</v>
      </c>
      <c r="G7" s="68"/>
      <c r="H7" s="68" t="s">
        <v>28</v>
      </c>
      <c r="I7" s="69"/>
      <c r="J7" s="70" t="s">
        <v>28</v>
      </c>
      <c r="K7"/>
      <c r="L7"/>
      <c r="M7"/>
      <c r="N7"/>
      <c r="O7"/>
      <c r="P7"/>
      <c r="Q7"/>
      <c r="R7"/>
      <c r="S7"/>
      <c r="T7"/>
      <c r="U7"/>
      <c r="V7"/>
      <c r="W7"/>
      <c r="X7"/>
      <c r="Y7"/>
      <c r="Z7"/>
      <c r="AA7"/>
      <c r="AB7"/>
      <c r="AC7"/>
      <c r="AD7"/>
      <c r="AE7"/>
      <c r="AF7"/>
      <c r="AG7"/>
      <c r="AH7"/>
      <c r="AI7"/>
      <c r="AJ7"/>
      <c r="AK7"/>
      <c r="AL7"/>
      <c r="AM7"/>
    </row>
    <row r="8" spans="2:39" x14ac:dyDescent="0.25">
      <c r="B8" s="17"/>
      <c r="C8" s="74"/>
      <c r="D8" s="184"/>
      <c r="E8" s="184"/>
      <c r="F8" s="184"/>
      <c r="G8" s="184"/>
      <c r="H8" s="184"/>
      <c r="I8" s="73"/>
      <c r="J8" s="109"/>
    </row>
    <row r="9" spans="2:39" x14ac:dyDescent="0.25">
      <c r="B9" s="17"/>
      <c r="C9" s="74"/>
      <c r="D9" s="75"/>
      <c r="E9" s="75"/>
      <c r="F9" s="75"/>
      <c r="G9" s="75"/>
      <c r="H9" s="75"/>
      <c r="I9" s="69"/>
      <c r="J9" s="75">
        <f>SUM(D9:H9)</f>
        <v>0</v>
      </c>
    </row>
    <row r="10" spans="2:39" x14ac:dyDescent="0.25">
      <c r="B10" s="17"/>
      <c r="C10" s="74"/>
      <c r="D10" s="75"/>
      <c r="E10" s="75"/>
      <c r="F10" s="75"/>
      <c r="G10" s="75"/>
      <c r="H10" s="75"/>
      <c r="I10" s="69"/>
      <c r="J10" s="75">
        <f>SUM(D10:H10)</f>
        <v>0</v>
      </c>
    </row>
    <row r="11" spans="2:39" x14ac:dyDescent="0.25">
      <c r="B11" s="17"/>
      <c r="C11" s="76" t="s">
        <v>10</v>
      </c>
      <c r="D11" s="100">
        <f>SUM(D8:D10)</f>
        <v>0</v>
      </c>
      <c r="E11" s="100">
        <f t="shared" ref="E11:J11" si="0">SUM(E8:E10)</f>
        <v>0</v>
      </c>
      <c r="F11" s="100">
        <f t="shared" si="0"/>
        <v>0</v>
      </c>
      <c r="G11" s="100">
        <f t="shared" si="0"/>
        <v>0</v>
      </c>
      <c r="H11" s="100">
        <f t="shared" si="0"/>
        <v>0</v>
      </c>
      <c r="I11" s="69">
        <f t="shared" si="0"/>
        <v>0</v>
      </c>
      <c r="J11" s="100">
        <f t="shared" si="0"/>
        <v>0</v>
      </c>
    </row>
    <row r="12" spans="2:39" x14ac:dyDescent="0.25">
      <c r="B12" s="17"/>
      <c r="C12" s="77" t="s">
        <v>29</v>
      </c>
      <c r="D12" s="68" t="s">
        <v>28</v>
      </c>
      <c r="E12" s="68"/>
      <c r="F12" s="68"/>
      <c r="G12" s="68"/>
      <c r="H12" s="68"/>
      <c r="I12" s="69"/>
      <c r="J12" s="70" t="s">
        <v>28</v>
      </c>
    </row>
    <row r="13" spans="2:39" x14ac:dyDescent="0.25">
      <c r="B13" s="17"/>
      <c r="C13" s="74"/>
      <c r="D13" s="109"/>
      <c r="E13" s="109"/>
      <c r="F13" s="109"/>
      <c r="G13" s="109"/>
      <c r="H13" s="109"/>
      <c r="I13" s="69"/>
      <c r="J13" s="109"/>
    </row>
    <row r="14" spans="2:39" x14ac:dyDescent="0.25">
      <c r="B14" s="17"/>
      <c r="C14" s="74"/>
      <c r="D14" s="75"/>
      <c r="E14" s="75"/>
      <c r="F14" s="75"/>
      <c r="G14" s="75"/>
      <c r="H14" s="75"/>
      <c r="I14" s="69"/>
      <c r="J14" s="75">
        <f>SUM(D14:H14)</f>
        <v>0</v>
      </c>
    </row>
    <row r="15" spans="2:39" x14ac:dyDescent="0.25">
      <c r="B15" s="17"/>
      <c r="C15" s="68"/>
      <c r="D15" s="75"/>
      <c r="E15" s="75"/>
      <c r="F15" s="75"/>
      <c r="G15" s="75"/>
      <c r="H15" s="75"/>
      <c r="I15" s="69"/>
      <c r="J15" s="75">
        <f>SUM(D15:H15)</f>
        <v>0</v>
      </c>
    </row>
    <row r="16" spans="2:39" x14ac:dyDescent="0.25">
      <c r="B16" s="17"/>
      <c r="C16" s="76" t="s">
        <v>11</v>
      </c>
      <c r="D16" s="100">
        <f>SUM(D13:D15)</f>
        <v>0</v>
      </c>
      <c r="E16" s="100">
        <f t="shared" ref="E16:J16" si="1">SUM(E13:E15)</f>
        <v>0</v>
      </c>
      <c r="F16" s="100">
        <f t="shared" si="1"/>
        <v>0</v>
      </c>
      <c r="G16" s="100">
        <f t="shared" si="1"/>
        <v>0</v>
      </c>
      <c r="H16" s="100">
        <f t="shared" si="1"/>
        <v>0</v>
      </c>
      <c r="I16" s="69">
        <f t="shared" si="1"/>
        <v>0</v>
      </c>
      <c r="J16" s="100">
        <f t="shared" si="1"/>
        <v>0</v>
      </c>
    </row>
    <row r="17" spans="2:10" x14ac:dyDescent="0.25">
      <c r="B17" s="17"/>
      <c r="C17" s="77" t="s">
        <v>30</v>
      </c>
      <c r="D17" s="68" t="s">
        <v>28</v>
      </c>
      <c r="E17" s="68"/>
      <c r="F17" s="68"/>
      <c r="G17" s="68"/>
      <c r="H17" s="68"/>
      <c r="I17" s="69"/>
      <c r="J17" s="70" t="s">
        <v>28</v>
      </c>
    </row>
    <row r="18" spans="2:10" x14ac:dyDescent="0.25">
      <c r="B18" s="17"/>
      <c r="C18" s="74"/>
      <c r="D18" s="68"/>
      <c r="E18" s="68"/>
      <c r="F18" s="68"/>
      <c r="G18" s="68"/>
      <c r="H18" s="68"/>
      <c r="I18" s="69"/>
      <c r="J18" s="75"/>
    </row>
    <row r="19" spans="2:10" x14ac:dyDescent="0.25">
      <c r="B19" s="17"/>
      <c r="C19" s="101"/>
      <c r="D19" s="75"/>
      <c r="E19" s="75"/>
      <c r="F19" s="75"/>
      <c r="G19" s="75"/>
      <c r="H19" s="75"/>
      <c r="I19" s="69"/>
      <c r="J19" s="75"/>
    </row>
    <row r="20" spans="2:10" x14ac:dyDescent="0.25">
      <c r="B20" s="17"/>
      <c r="C20" s="101"/>
      <c r="D20" s="75"/>
      <c r="E20" s="75"/>
      <c r="F20" s="75"/>
      <c r="G20" s="75"/>
      <c r="H20" s="75"/>
      <c r="I20" s="73">
        <v>2000</v>
      </c>
      <c r="J20" s="75"/>
    </row>
    <row r="21" spans="2:10" x14ac:dyDescent="0.25">
      <c r="B21" s="17"/>
      <c r="C21" s="101"/>
      <c r="D21" s="75"/>
      <c r="E21" s="75"/>
      <c r="F21" s="75"/>
      <c r="G21" s="75"/>
      <c r="H21" s="75"/>
      <c r="I21" s="73">
        <v>250</v>
      </c>
      <c r="J21" s="75"/>
    </row>
    <row r="22" spans="2:10" x14ac:dyDescent="0.25">
      <c r="B22" s="17"/>
      <c r="C22" s="74"/>
      <c r="D22" s="75"/>
      <c r="E22" s="75"/>
      <c r="F22" s="75"/>
      <c r="G22" s="75"/>
      <c r="H22" s="75"/>
      <c r="I22" s="73">
        <v>2250</v>
      </c>
      <c r="J22" s="75"/>
    </row>
    <row r="23" spans="2:10" x14ac:dyDescent="0.25">
      <c r="B23" s="17"/>
      <c r="C23" s="101"/>
      <c r="D23" s="75"/>
      <c r="E23" s="75"/>
      <c r="F23" s="75"/>
      <c r="G23" s="75"/>
      <c r="H23" s="75"/>
      <c r="I23" s="73">
        <v>1243</v>
      </c>
      <c r="J23" s="75"/>
    </row>
    <row r="24" spans="2:10" x14ac:dyDescent="0.25">
      <c r="B24" s="17"/>
      <c r="C24" s="101"/>
      <c r="D24" s="75"/>
      <c r="E24" s="75"/>
      <c r="F24" s="75"/>
      <c r="G24" s="75"/>
      <c r="H24" s="75"/>
      <c r="I24" s="73">
        <v>225</v>
      </c>
      <c r="J24" s="75"/>
    </row>
    <row r="25" spans="2:10" x14ac:dyDescent="0.25">
      <c r="B25" s="17"/>
      <c r="C25" s="101"/>
      <c r="D25" s="75"/>
      <c r="E25" s="75"/>
      <c r="F25" s="75"/>
      <c r="G25" s="75"/>
      <c r="H25" s="75"/>
      <c r="I25" s="73">
        <v>400</v>
      </c>
      <c r="J25" s="75"/>
    </row>
    <row r="26" spans="2:10" x14ac:dyDescent="0.25">
      <c r="B26" s="17"/>
      <c r="C26" s="74"/>
      <c r="D26" s="75"/>
      <c r="E26" s="75"/>
      <c r="F26" s="75"/>
      <c r="G26" s="75"/>
      <c r="H26" s="75"/>
      <c r="I26" s="73">
        <v>1638</v>
      </c>
      <c r="J26" s="75"/>
    </row>
    <row r="27" spans="2:10" x14ac:dyDescent="0.25">
      <c r="B27" s="17"/>
      <c r="C27" s="76" t="s">
        <v>12</v>
      </c>
      <c r="D27" s="100">
        <f>SUM(D20:D26)</f>
        <v>0</v>
      </c>
      <c r="E27" s="100">
        <f>SUM(E20:E26)</f>
        <v>0</v>
      </c>
      <c r="F27" s="100">
        <f>SUM(F20:F26)</f>
        <v>0</v>
      </c>
      <c r="G27" s="100">
        <f>SUM(G20:G26)</f>
        <v>0</v>
      </c>
      <c r="H27" s="100">
        <f>SUM(H20:H26)</f>
        <v>0</v>
      </c>
      <c r="I27" s="69"/>
      <c r="J27" s="100">
        <f>SUM(D27:H27)</f>
        <v>0</v>
      </c>
    </row>
    <row r="28" spans="2:10" x14ac:dyDescent="0.25">
      <c r="B28" s="17"/>
      <c r="C28" s="77" t="s">
        <v>31</v>
      </c>
      <c r="D28" s="75"/>
      <c r="E28" s="68"/>
      <c r="F28" s="68"/>
      <c r="G28" s="68"/>
      <c r="H28" s="68"/>
      <c r="I28" s="69"/>
      <c r="J28" s="75" t="s">
        <v>18</v>
      </c>
    </row>
    <row r="29" spans="2:10" ht="30" x14ac:dyDescent="0.25">
      <c r="B29" s="17"/>
      <c r="C29" s="74" t="s">
        <v>183</v>
      </c>
      <c r="D29" s="75">
        <v>600000</v>
      </c>
      <c r="E29" s="68"/>
      <c r="F29" s="68"/>
      <c r="G29" s="68"/>
      <c r="H29" s="68"/>
      <c r="I29" s="69"/>
      <c r="J29" s="75">
        <f>SUM(D29:H29)</f>
        <v>600000</v>
      </c>
    </row>
    <row r="30" spans="2:10" ht="30" x14ac:dyDescent="0.25">
      <c r="B30" s="17"/>
      <c r="C30" s="74" t="s">
        <v>184</v>
      </c>
      <c r="D30" s="75">
        <v>1000000</v>
      </c>
      <c r="E30" s="68"/>
      <c r="F30" s="68"/>
      <c r="G30" s="68"/>
      <c r="H30" s="68"/>
      <c r="I30" s="69"/>
      <c r="J30" s="75">
        <f>SUM(D30:H30)</f>
        <v>1000000</v>
      </c>
    </row>
    <row r="31" spans="2:10" x14ac:dyDescent="0.25">
      <c r="B31" s="17" t="s">
        <v>32</v>
      </c>
      <c r="C31" s="74"/>
      <c r="D31" s="75"/>
      <c r="E31" s="68"/>
      <c r="F31" s="68"/>
      <c r="G31" s="68"/>
      <c r="H31" s="68"/>
      <c r="I31" s="69"/>
      <c r="J31" s="75"/>
    </row>
    <row r="32" spans="2:10" x14ac:dyDescent="0.25">
      <c r="B32" s="17"/>
      <c r="C32" s="76" t="s">
        <v>13</v>
      </c>
      <c r="D32" s="103">
        <f>SUM(D29:D31)</f>
        <v>1600000</v>
      </c>
      <c r="E32" s="103">
        <f>SUM(E29:E31)</f>
        <v>0</v>
      </c>
      <c r="F32" s="103">
        <f>SUM(F29:F31)</f>
        <v>0</v>
      </c>
      <c r="G32" s="103">
        <f>SUM(G29:G31)</f>
        <v>0</v>
      </c>
      <c r="H32" s="103">
        <f>SUM(H29:H31)</f>
        <v>0</v>
      </c>
      <c r="I32" s="69"/>
      <c r="J32" s="100">
        <f>SUM(D32:H32)</f>
        <v>1600000</v>
      </c>
    </row>
    <row r="33" spans="2:11" x14ac:dyDescent="0.25">
      <c r="B33" s="17"/>
      <c r="C33" s="77" t="s">
        <v>33</v>
      </c>
      <c r="D33" s="68" t="s">
        <v>28</v>
      </c>
      <c r="E33" s="68"/>
      <c r="F33" s="68"/>
      <c r="G33" s="68"/>
      <c r="H33" s="68"/>
      <c r="I33" s="69"/>
      <c r="J33" s="75"/>
    </row>
    <row r="34" spans="2:11" x14ac:dyDescent="0.25">
      <c r="B34" s="17"/>
      <c r="C34" s="64"/>
      <c r="D34" s="62"/>
      <c r="E34" s="62"/>
      <c r="F34" s="62"/>
      <c r="G34" s="62"/>
      <c r="H34" s="62"/>
      <c r="I34" s="69"/>
      <c r="J34" s="109"/>
    </row>
    <row r="35" spans="2:11" x14ac:dyDescent="0.25">
      <c r="B35" s="17"/>
      <c r="C35" s="77"/>
      <c r="D35" s="68"/>
      <c r="E35" s="68"/>
      <c r="F35" s="68"/>
      <c r="G35" s="68"/>
      <c r="H35" s="68"/>
      <c r="I35" s="69"/>
      <c r="J35" s="75"/>
    </row>
    <row r="36" spans="2:11" x14ac:dyDescent="0.25">
      <c r="B36" s="17"/>
      <c r="C36" s="76" t="s">
        <v>14</v>
      </c>
      <c r="D36" s="110">
        <f>SUM(D34)</f>
        <v>0</v>
      </c>
      <c r="E36" s="110">
        <f t="shared" ref="E36:H36" si="2">SUM(E34)</f>
        <v>0</v>
      </c>
      <c r="F36" s="110">
        <f t="shared" si="2"/>
        <v>0</v>
      </c>
      <c r="G36" s="110">
        <f t="shared" si="2"/>
        <v>0</v>
      </c>
      <c r="H36" s="110">
        <f t="shared" si="2"/>
        <v>0</v>
      </c>
      <c r="I36" s="69"/>
      <c r="J36" s="100">
        <f>SUM(D36:H36)</f>
        <v>0</v>
      </c>
    </row>
    <row r="37" spans="2:11" x14ac:dyDescent="0.25">
      <c r="B37" s="17"/>
    </row>
    <row r="38" spans="2:11" x14ac:dyDescent="0.25">
      <c r="B38" s="17"/>
    </row>
    <row r="39" spans="2:11" x14ac:dyDescent="0.25">
      <c r="B39" s="17"/>
      <c r="C39" s="74"/>
      <c r="D39" s="75"/>
      <c r="E39" s="75"/>
      <c r="F39" s="75"/>
      <c r="G39" s="75"/>
      <c r="H39" s="75"/>
      <c r="I39" s="69"/>
      <c r="J39" s="75">
        <f>SUM(D39:H39)</f>
        <v>0</v>
      </c>
    </row>
    <row r="40" spans="2:11" x14ac:dyDescent="0.25">
      <c r="B40" s="17"/>
      <c r="C40" s="76" t="s">
        <v>15</v>
      </c>
      <c r="D40" s="100">
        <f>SUM(D39:D39)</f>
        <v>0</v>
      </c>
      <c r="E40" s="100">
        <f>SUM(E39:E39)</f>
        <v>0</v>
      </c>
      <c r="F40" s="100">
        <f>SUM(F39:F39)</f>
        <v>0</v>
      </c>
      <c r="G40" s="100">
        <f>SUM(G39:G39)</f>
        <v>0</v>
      </c>
      <c r="H40" s="100">
        <f>SUM(H39:H39)</f>
        <v>0</v>
      </c>
      <c r="I40" s="69"/>
      <c r="J40" s="100">
        <f>SUM(D40:H40)</f>
        <v>0</v>
      </c>
    </row>
    <row r="41" spans="2:11" x14ac:dyDescent="0.25">
      <c r="B41" s="17"/>
      <c r="C41" s="77" t="s">
        <v>35</v>
      </c>
      <c r="D41" s="68" t="s">
        <v>28</v>
      </c>
      <c r="E41" s="68"/>
      <c r="F41" s="68"/>
      <c r="G41" s="68"/>
      <c r="H41" s="68"/>
      <c r="I41" s="69"/>
      <c r="J41" s="75"/>
    </row>
    <row r="42" spans="2:11" x14ac:dyDescent="0.25">
      <c r="B42" s="17"/>
      <c r="C42" s="77" t="s">
        <v>114</v>
      </c>
      <c r="D42" s="68"/>
      <c r="E42" s="68"/>
      <c r="F42" s="68"/>
      <c r="G42" s="68"/>
      <c r="H42" s="68"/>
      <c r="I42" s="69"/>
      <c r="J42" s="75"/>
    </row>
    <row r="43" spans="2:11" x14ac:dyDescent="0.25">
      <c r="B43" s="17"/>
      <c r="C43" s="74" t="s">
        <v>95</v>
      </c>
      <c r="D43" s="75">
        <v>40000</v>
      </c>
      <c r="E43" s="75">
        <v>41000</v>
      </c>
      <c r="F43" s="75">
        <v>42000</v>
      </c>
      <c r="G43" s="75">
        <v>43000</v>
      </c>
      <c r="H43" s="75">
        <v>44000</v>
      </c>
      <c r="I43" s="73">
        <v>375000</v>
      </c>
      <c r="J43" s="75">
        <f>SUM(D43:H43)</f>
        <v>210000</v>
      </c>
    </row>
    <row r="44" spans="2:11" x14ac:dyDescent="0.25">
      <c r="B44" s="17"/>
      <c r="C44" s="74" t="s">
        <v>96</v>
      </c>
      <c r="D44" s="75">
        <v>10000</v>
      </c>
      <c r="E44" s="75"/>
      <c r="F44" s="75"/>
      <c r="G44" s="75"/>
      <c r="H44" s="75"/>
      <c r="I44" s="73">
        <v>781250</v>
      </c>
      <c r="J44" s="75">
        <f t="shared" ref="J44:J53" si="3">SUM(D44:H44)</f>
        <v>10000</v>
      </c>
    </row>
    <row r="45" spans="2:11" x14ac:dyDescent="0.25">
      <c r="B45" s="17"/>
      <c r="C45" s="74" t="s">
        <v>97</v>
      </c>
      <c r="D45" s="75">
        <v>20000</v>
      </c>
      <c r="E45" s="75"/>
      <c r="F45" s="75"/>
      <c r="G45" s="75"/>
      <c r="H45" s="75"/>
      <c r="I45" s="73">
        <v>2083335</v>
      </c>
      <c r="J45" s="75">
        <f t="shared" si="3"/>
        <v>20000</v>
      </c>
    </row>
    <row r="46" spans="2:11" x14ac:dyDescent="0.25">
      <c r="B46" s="17"/>
      <c r="C46" s="74" t="s">
        <v>98</v>
      </c>
      <c r="D46" s="75">
        <v>20000</v>
      </c>
      <c r="E46" s="75"/>
      <c r="F46" s="75"/>
      <c r="G46" s="75"/>
      <c r="H46" s="75"/>
      <c r="I46" s="73"/>
      <c r="J46" s="75">
        <f t="shared" si="3"/>
        <v>20000</v>
      </c>
    </row>
    <row r="47" spans="2:11" x14ac:dyDescent="0.25">
      <c r="B47" s="17"/>
      <c r="C47" s="74" t="s">
        <v>99</v>
      </c>
      <c r="D47" s="75">
        <f>1090000*20%</f>
        <v>218000</v>
      </c>
      <c r="E47" s="75"/>
      <c r="F47" s="75"/>
      <c r="G47" s="75"/>
      <c r="H47" s="75"/>
      <c r="I47" s="69"/>
      <c r="J47" s="75">
        <f t="shared" si="3"/>
        <v>218000</v>
      </c>
    </row>
    <row r="48" spans="2:11" x14ac:dyDescent="0.25">
      <c r="B48" s="17"/>
      <c r="C48" s="116" t="s">
        <v>113</v>
      </c>
      <c r="D48" s="75"/>
      <c r="E48" s="75"/>
      <c r="F48" s="75"/>
      <c r="G48" s="75"/>
      <c r="H48" s="75"/>
      <c r="I48" s="69"/>
      <c r="J48" s="75"/>
      <c r="K48" s="24"/>
    </row>
    <row r="49" spans="2:15" x14ac:dyDescent="0.25">
      <c r="B49" s="17"/>
      <c r="C49" s="74" t="s">
        <v>95</v>
      </c>
      <c r="D49" s="75">
        <v>40000</v>
      </c>
      <c r="E49" s="75">
        <v>41000</v>
      </c>
      <c r="F49" s="75">
        <v>42000</v>
      </c>
      <c r="G49" s="75">
        <v>43000</v>
      </c>
      <c r="H49" s="75">
        <v>44000</v>
      </c>
      <c r="I49" s="73">
        <v>375000</v>
      </c>
      <c r="J49" s="75">
        <f t="shared" si="3"/>
        <v>210000</v>
      </c>
    </row>
    <row r="50" spans="2:15" x14ac:dyDescent="0.25">
      <c r="B50" s="17"/>
      <c r="C50" s="74" t="s">
        <v>96</v>
      </c>
      <c r="D50" s="75">
        <v>10000</v>
      </c>
      <c r="E50" s="75"/>
      <c r="F50" s="75"/>
      <c r="G50" s="75"/>
      <c r="H50" s="75"/>
      <c r="I50" s="73">
        <v>781250</v>
      </c>
      <c r="J50" s="75">
        <f t="shared" si="3"/>
        <v>10000</v>
      </c>
    </row>
    <row r="51" spans="2:15" x14ac:dyDescent="0.25">
      <c r="B51" s="17"/>
      <c r="C51" s="74" t="s">
        <v>97</v>
      </c>
      <c r="D51" s="75">
        <v>20000</v>
      </c>
      <c r="E51" s="75"/>
      <c r="F51" s="75"/>
      <c r="G51" s="75"/>
      <c r="H51" s="75"/>
      <c r="I51" s="73">
        <v>2083335</v>
      </c>
      <c r="J51" s="75">
        <f t="shared" si="3"/>
        <v>20000</v>
      </c>
    </row>
    <row r="52" spans="2:15" x14ac:dyDescent="0.25">
      <c r="B52" s="17"/>
      <c r="C52" s="74" t="s">
        <v>98</v>
      </c>
      <c r="D52" s="75">
        <v>20000</v>
      </c>
      <c r="E52" s="75"/>
      <c r="F52" s="75"/>
      <c r="G52" s="75"/>
      <c r="H52" s="75"/>
      <c r="I52" s="73"/>
      <c r="J52" s="75">
        <f t="shared" si="3"/>
        <v>20000</v>
      </c>
    </row>
    <row r="53" spans="2:15" x14ac:dyDescent="0.25">
      <c r="B53" s="17"/>
      <c r="C53" s="74" t="s">
        <v>99</v>
      </c>
      <c r="D53" s="75">
        <f>1090000*20%</f>
        <v>218000</v>
      </c>
      <c r="E53" s="75"/>
      <c r="F53" s="75"/>
      <c r="G53" s="75"/>
      <c r="H53" s="75"/>
      <c r="I53" s="69"/>
      <c r="J53" s="75">
        <f t="shared" si="3"/>
        <v>218000</v>
      </c>
    </row>
    <row r="54" spans="2:15" x14ac:dyDescent="0.25">
      <c r="B54" s="17"/>
      <c r="C54" s="74"/>
      <c r="D54" s="75"/>
      <c r="E54" s="75"/>
      <c r="F54" s="75"/>
      <c r="G54" s="75"/>
      <c r="H54" s="75"/>
      <c r="I54" s="69"/>
      <c r="J54" s="75"/>
    </row>
    <row r="55" spans="2:15" x14ac:dyDescent="0.25">
      <c r="B55" s="18"/>
      <c r="C55" s="76" t="s">
        <v>16</v>
      </c>
      <c r="D55" s="100">
        <f>SUM(D43:D54)</f>
        <v>616000</v>
      </c>
      <c r="E55" s="100">
        <f t="shared" ref="E55:H55" si="4">SUM(E43:E54)</f>
        <v>82000</v>
      </c>
      <c r="F55" s="100">
        <f t="shared" si="4"/>
        <v>84000</v>
      </c>
      <c r="G55" s="100">
        <f t="shared" si="4"/>
        <v>86000</v>
      </c>
      <c r="H55" s="100">
        <f t="shared" si="4"/>
        <v>88000</v>
      </c>
      <c r="I55" s="69"/>
      <c r="J55" s="100">
        <f>SUM(D55:H55)</f>
        <v>956000</v>
      </c>
      <c r="K55" s="248"/>
      <c r="L55" s="249"/>
      <c r="M55" s="249"/>
      <c r="N55" s="249"/>
      <c r="O55" s="249"/>
    </row>
    <row r="56" spans="2:15" x14ac:dyDescent="0.25">
      <c r="B56" s="18"/>
      <c r="C56" s="76" t="s">
        <v>17</v>
      </c>
      <c r="D56" s="100">
        <f>SUM(D55,D40,D36,D32,D27,D16,D11)</f>
        <v>2216000</v>
      </c>
      <c r="E56" s="100">
        <f t="shared" ref="E56:H56" si="5">SUM(E55,E40,E36,E32,E27,E16,E11)</f>
        <v>82000</v>
      </c>
      <c r="F56" s="100">
        <f>SUM(F55,F40,F36,F32,F27,F16,F11)</f>
        <v>84000</v>
      </c>
      <c r="G56" s="100">
        <f t="shared" si="5"/>
        <v>86000</v>
      </c>
      <c r="H56" s="100">
        <f t="shared" si="5"/>
        <v>88000</v>
      </c>
      <c r="I56" s="69"/>
      <c r="J56" s="100">
        <f>SUM(D56:H56)</f>
        <v>2556000</v>
      </c>
      <c r="K56" s="248"/>
      <c r="L56" s="249"/>
      <c r="M56" s="249"/>
      <c r="N56" s="249"/>
      <c r="O56" s="249"/>
    </row>
    <row r="57" spans="2:15" x14ac:dyDescent="0.25">
      <c r="B57" s="6"/>
      <c r="C57" s="69"/>
      <c r="D57" s="69"/>
      <c r="E57" s="69"/>
      <c r="F57" s="69"/>
      <c r="G57" s="69"/>
      <c r="H57" s="69"/>
      <c r="I57" s="69"/>
      <c r="J57" s="69" t="s">
        <v>18</v>
      </c>
      <c r="K57" s="248"/>
      <c r="L57" s="249"/>
      <c r="M57" s="249"/>
      <c r="N57" s="249"/>
      <c r="O57" s="249"/>
    </row>
    <row r="58" spans="2:15" ht="30" x14ac:dyDescent="0.25">
      <c r="B58" s="50" t="s">
        <v>36</v>
      </c>
      <c r="C58" s="78" t="s">
        <v>36</v>
      </c>
      <c r="D58" s="70"/>
      <c r="E58" s="70"/>
      <c r="F58" s="70"/>
      <c r="G58" s="70"/>
      <c r="H58" s="70"/>
      <c r="I58" s="69"/>
      <c r="J58" s="70" t="s">
        <v>18</v>
      </c>
      <c r="K58" s="248"/>
      <c r="L58" s="249"/>
      <c r="M58" s="249"/>
      <c r="N58" s="249"/>
      <c r="O58" s="249"/>
    </row>
    <row r="59" spans="2:15" x14ac:dyDescent="0.25">
      <c r="B59" s="17"/>
      <c r="C59" s="74"/>
      <c r="D59" s="68"/>
      <c r="E59" s="68"/>
      <c r="F59" s="68"/>
      <c r="G59" s="68"/>
      <c r="H59" s="68"/>
      <c r="I59" s="69"/>
      <c r="J59" s="75"/>
    </row>
    <row r="60" spans="2:15" x14ac:dyDescent="0.25">
      <c r="B60" s="18"/>
      <c r="C60" s="76" t="s">
        <v>19</v>
      </c>
      <c r="D60" s="100">
        <f>SUM(D59:D59)</f>
        <v>0</v>
      </c>
      <c r="E60" s="100">
        <f>SUM(E59:E59)</f>
        <v>0</v>
      </c>
      <c r="F60" s="100">
        <f>SUM(F59:F59)</f>
        <v>0</v>
      </c>
      <c r="G60" s="100">
        <f>SUM(G59:G59)</f>
        <v>0</v>
      </c>
      <c r="H60" s="100">
        <f>SUM(H59:H59)</f>
        <v>0</v>
      </c>
      <c r="I60" s="69"/>
      <c r="J60" s="100">
        <f>SUM(D60:H60)</f>
        <v>0</v>
      </c>
    </row>
    <row r="61" spans="2:15" ht="15.75" thickBot="1" x14ac:dyDescent="0.3">
      <c r="B61" s="6"/>
      <c r="C61" s="69"/>
      <c r="D61" s="69"/>
      <c r="E61" s="69"/>
      <c r="F61" s="69"/>
      <c r="G61" s="69"/>
      <c r="H61" s="69"/>
      <c r="I61" s="69"/>
      <c r="J61" s="69" t="s">
        <v>18</v>
      </c>
    </row>
    <row r="62" spans="2:15" s="1" customFormat="1" ht="30.75" thickBot="1" x14ac:dyDescent="0.3">
      <c r="B62" s="14" t="s">
        <v>20</v>
      </c>
      <c r="C62" s="79"/>
      <c r="D62" s="108">
        <f t="shared" ref="D62:J62" si="6">SUM(D60,D56)</f>
        <v>2216000</v>
      </c>
      <c r="E62" s="108">
        <f t="shared" si="6"/>
        <v>82000</v>
      </c>
      <c r="F62" s="108">
        <f t="shared" si="6"/>
        <v>84000</v>
      </c>
      <c r="G62" s="108">
        <f t="shared" si="6"/>
        <v>86000</v>
      </c>
      <c r="H62" s="108">
        <f t="shared" si="6"/>
        <v>88000</v>
      </c>
      <c r="I62" s="69">
        <f t="shared" si="6"/>
        <v>0</v>
      </c>
      <c r="J62" s="108">
        <f t="shared" si="6"/>
        <v>2556000</v>
      </c>
    </row>
    <row r="63" spans="2:15" x14ac:dyDescent="0.25">
      <c r="B63" s="6"/>
    </row>
    <row r="64" spans="2:15"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row r="75" spans="2:2" x14ac:dyDescent="0.25">
      <c r="B75" s="6"/>
    </row>
    <row r="76" spans="2:2" x14ac:dyDescent="0.25">
      <c r="B76" s="6"/>
    </row>
    <row r="77" spans="2:2" x14ac:dyDescent="0.25">
      <c r="B77" s="6"/>
    </row>
  </sheetData>
  <mergeCells count="1">
    <mergeCell ref="K55:O58"/>
  </mergeCells>
  <pageMargins left="0.7" right="0.7" top="0.75" bottom="0.75" header="0.3" footer="0.3"/>
  <pageSetup scale="8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Props1.xml><?xml version="1.0" encoding="utf-8"?>
<ds:datastoreItem xmlns:ds="http://schemas.openxmlformats.org/officeDocument/2006/customXml" ds:itemID="{3E962A3E-8547-4A07-881C-EB4E7EE4CB97}">
  <ds:schemaRefs>
    <ds:schemaRef ds:uri="Microsoft.SharePoint.Taxonomy.ContentTypeSync"/>
  </ds:schemaRefs>
</ds:datastoreItem>
</file>

<file path=customXml/itemProps2.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A2572C9-94E8-4C6B-8BD4-9D0B9DF7E5AC}">
  <ds:schemaRefs>
    <ds:schemaRef ds:uri="http://schemas.microsoft.com/DataMashup"/>
  </ds:schemaRefs>
</ds:datastoreItem>
</file>

<file path=customXml/itemProps4.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5.xml><?xml version="1.0" encoding="utf-8"?>
<ds:datastoreItem xmlns:ds="http://schemas.openxmlformats.org/officeDocument/2006/customXml" ds:itemID="{68222176-22B4-47AB-AB9E-BB248AC3A7F3}">
  <ds:schemaRefs>
    <ds:schemaRef ds:uri="http://schemas.microsoft.com/sharepoint/v3/fields"/>
    <ds:schemaRef ds:uri="http://schemas.microsoft.com/sharepoint.v3"/>
    <ds:schemaRef ds:uri="http://purl.org/dc/dcmitype/"/>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2755580c-7c5f-43cf-bd85-5c868b718937"/>
    <ds:schemaRef ds:uri="http://schemas.microsoft.com/office/2006/metadata/properties"/>
    <ds:schemaRef ds:uri="3d00cabe-74f9-499f-ba26-1e0076cbc6cc"/>
    <ds:schemaRef ds:uri="http://purl.org/dc/elements/1.1/"/>
    <ds:schemaRef ds:uri="4ffa91fb-a0ff-4ac5-b2db-65c790d184a4"/>
    <ds:schemaRef ds:uri="http://schemas.microsoft.com/sharepoint/v3"/>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Overview</vt:lpstr>
      <vt:lpstr>Consolidated Budget</vt:lpstr>
      <vt:lpstr>Water Transportation</vt:lpstr>
      <vt:lpstr>Rail Infrastructure</vt:lpstr>
      <vt:lpstr>Vehicle-to-Grid Integration</vt:lpstr>
      <vt:lpstr>Tribal Fleets</vt:lpstr>
      <vt:lpstr>SCC energy district</vt:lpstr>
      <vt:lpstr>WWU energy district</vt:lpstr>
      <vt:lpstr>AD</vt:lpstr>
      <vt:lpstr>Tribal CE grant</vt:lpstr>
      <vt:lpstr>Commerce Subaward Management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2024-03-26T18:44:16Z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