
<file path=[Content_Types].xml><?xml version="1.0" encoding="utf-8"?>
<Types xmlns="http://schemas.openxmlformats.org/package/2006/content-types">
  <Default Extension="png" ContentType="image/png"/>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Energy\Federal\IRA\Climate Pollution Reduction Grant\CPRG Phase 2\Tier C\Final documents Tier C\"/>
    </mc:Choice>
  </mc:AlternateContent>
  <bookViews>
    <workbookView xWindow="240" yWindow="105" windowWidth="14805" windowHeight="8010"/>
  </bookViews>
  <sheets>
    <sheet name="Calculations Spreadsheet Intro" sheetId="1" r:id="rId1"/>
    <sheet name="VMT Reduction through Barging" sheetId="11" r:id="rId2"/>
    <sheet name="Calculations Explanation" sheetId="39" r:id="rId3"/>
    <sheet name="VMT Emissions" sheetId="16" r:id="rId4"/>
    <sheet name="Towing Vessel Emissions" sheetId="17" r:id="rId5"/>
    <sheet name="Combined Emissions Reduced VMT" sheetId="18" r:id="rId6"/>
    <sheet name="Rail Decarbonization" sheetId="2" r:id="rId7"/>
    <sheet name="Conversions to Tier4 QST30 1500" sheetId="8" r:id="rId8"/>
    <sheet name="Conversions to Tier3 QSK50 2000" sheetId="9" r:id="rId9"/>
    <sheet name="Conversions to Tier3 QSK50 2130" sheetId="10" r:id="rId10"/>
    <sheet name="Engine Emission Conversions" sheetId="3" r:id="rId11"/>
    <sheet name="Combined Emissions Reduced RD" sheetId="4" r:id="rId12"/>
    <sheet name="Vehicle to Grid Integration" sheetId="7" r:id="rId13"/>
    <sheet name="Calculations" sheetId="29" r:id="rId14"/>
    <sheet name="Vehicle Conversion Rate" sheetId="30" r:id="rId15"/>
    <sheet name="Combined Emissions Reduced VG" sheetId="28" r:id="rId16"/>
    <sheet name="Tribal Fleet Electrification" sheetId="5" r:id="rId17"/>
    <sheet name="Solar Calculations TFE" sheetId="6" r:id="rId18"/>
    <sheet name="Solar Emissions Estimates" sheetId="36" r:id="rId19"/>
    <sheet name="Reference TFE" sheetId="35" r:id="rId20"/>
    <sheet name="EV Calculations TFE" sheetId="37" r:id="rId21"/>
    <sheet name="Combined Emissions Reduced TFE" sheetId="38" r:id="rId22"/>
    <sheet name="Tribal Clean Energy" sheetId="14" r:id="rId23"/>
    <sheet name="Commerce Solar Plus Storage" sheetId="32" r:id="rId24"/>
    <sheet name="Emissions Reductions Estimates" sheetId="33" r:id="rId25"/>
    <sheet name="Reference" sheetId="34" r:id="rId26"/>
    <sheet name="Combined Emissions Reduced TCE" sheetId="27" r:id="rId27"/>
    <sheet name="Decarbonizing Campus Energy SCC" sheetId="13" r:id="rId28"/>
    <sheet name="Combined Emissions Reduced SCC" sheetId="24" r:id="rId29"/>
    <sheet name="Decarbonizing Campus Energy WWU" sheetId="23" r:id="rId30"/>
    <sheet name="WWU Calculations" sheetId="25" r:id="rId31"/>
    <sheet name="Combined Emissions Reduced WWU" sheetId="26" r:id="rId32"/>
    <sheet name="Anaerobic Digesters" sheetId="12" r:id="rId33"/>
    <sheet name="Combined Emissions Reduced AD" sheetId="31" r:id="rId34"/>
  </sheets>
  <externalReferences>
    <externalReference r:id="rId35"/>
    <externalReference r:id="rId36"/>
  </externalReferences>
  <definedNames>
    <definedName name="_msoanchor_1">'Combined Emissions Reduced WWU'!$F$12</definedName>
    <definedName name="Purchased_electricity___WA_Avg_CO2EF">[1]Reference!$C$27</definedName>
    <definedName name="WA_Elect_MT_CO2_kWh" localSheetId="24">'[2]ECY ERE Reference'!$D$27</definedName>
    <definedName name="WA_Elect_MT_CO2_kWh" localSheetId="18">'[2]ECY ERE Reference'!$D$27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26" l="1"/>
  <c r="E12" i="26"/>
  <c r="N8" i="25"/>
  <c r="N7" i="25"/>
  <c r="K4" i="25"/>
  <c r="K11" i="25"/>
  <c r="K10" i="25"/>
  <c r="K9" i="25"/>
  <c r="K8" i="25"/>
  <c r="K7" i="25"/>
  <c r="K6" i="25"/>
  <c r="K5" i="25"/>
  <c r="K3" i="25"/>
  <c r="K2" i="25"/>
  <c r="K12" i="25" s="1"/>
  <c r="E74" i="31"/>
  <c r="B78" i="31"/>
  <c r="C78" i="31"/>
  <c r="L9" i="38"/>
  <c r="K9" i="38"/>
  <c r="F4" i="38"/>
  <c r="G4" i="38"/>
  <c r="H4" i="38"/>
  <c r="I4" i="38"/>
  <c r="E4" i="38"/>
  <c r="I3" i="38"/>
  <c r="H3" i="38"/>
  <c r="G3" i="38"/>
  <c r="F3" i="38"/>
  <c r="F28" i="36"/>
  <c r="C23" i="37"/>
  <c r="B21" i="37"/>
  <c r="C25" i="29"/>
  <c r="B27" i="29"/>
  <c r="C24" i="29"/>
  <c r="B20" i="37"/>
  <c r="G38" i="36"/>
  <c r="H32" i="36"/>
  <c r="D40" i="35"/>
  <c r="D39" i="35"/>
  <c r="D38" i="35"/>
  <c r="D37" i="35"/>
  <c r="D36" i="35"/>
  <c r="D35" i="35"/>
  <c r="D34" i="35"/>
  <c r="D27" i="35"/>
  <c r="D22" i="35"/>
  <c r="D21" i="35"/>
  <c r="D20" i="35"/>
  <c r="D19" i="35"/>
  <c r="D15" i="35"/>
  <c r="D11" i="27"/>
  <c r="C11" i="27"/>
  <c r="E2" i="27"/>
  <c r="D2" i="27"/>
  <c r="D14" i="32"/>
  <c r="D13" i="32"/>
  <c r="D27" i="34"/>
  <c r="F28" i="33" s="1"/>
  <c r="D40" i="34"/>
  <c r="D39" i="34"/>
  <c r="D38" i="34"/>
  <c r="D37" i="34"/>
  <c r="D36" i="34"/>
  <c r="D35" i="34"/>
  <c r="D34" i="34"/>
  <c r="D22" i="34"/>
  <c r="D21" i="34"/>
  <c r="D20" i="34"/>
  <c r="D19" i="34"/>
  <c r="D15" i="34"/>
  <c r="H32" i="33"/>
  <c r="H28" i="33"/>
  <c r="G38" i="33"/>
  <c r="E11" i="32"/>
  <c r="D11" i="32"/>
  <c r="C11" i="32"/>
  <c r="J12" i="25"/>
  <c r="F12" i="25"/>
  <c r="E12" i="25"/>
  <c r="D12" i="25"/>
  <c r="B12" i="25"/>
  <c r="H11" i="25"/>
  <c r="G11" i="25"/>
  <c r="I11" i="25" s="1"/>
  <c r="H10" i="25"/>
  <c r="G10" i="25"/>
  <c r="I10" i="25" s="1"/>
  <c r="H9" i="25"/>
  <c r="G9" i="25"/>
  <c r="I9" i="25" s="1"/>
  <c r="H8" i="25"/>
  <c r="G8" i="25"/>
  <c r="I8" i="25" s="1"/>
  <c r="H7" i="25"/>
  <c r="G7" i="25"/>
  <c r="I7" i="25" s="1"/>
  <c r="H6" i="25"/>
  <c r="G6" i="25"/>
  <c r="I6" i="25" s="1"/>
  <c r="H5" i="25"/>
  <c r="G5" i="25"/>
  <c r="I5" i="25" s="1"/>
  <c r="H4" i="25"/>
  <c r="G4" i="25"/>
  <c r="I4" i="25" s="1"/>
  <c r="H3" i="25"/>
  <c r="G3" i="25"/>
  <c r="I3" i="25" s="1"/>
  <c r="H2" i="25"/>
  <c r="H12" i="25" s="1"/>
  <c r="G2" i="25"/>
  <c r="D30" i="24"/>
  <c r="D31" i="24"/>
  <c r="F22" i="24"/>
  <c r="G22" i="24" s="1"/>
  <c r="H22" i="24" s="1"/>
  <c r="F21" i="24"/>
  <c r="G21" i="24" s="1"/>
  <c r="H21" i="24" s="1"/>
  <c r="H23" i="24" s="1"/>
  <c r="F8" i="24"/>
  <c r="G8" i="24" s="1"/>
  <c r="H8" i="24" s="1"/>
  <c r="F7" i="24"/>
  <c r="G7" i="24" s="1"/>
  <c r="H7" i="24" s="1"/>
  <c r="F6" i="24"/>
  <c r="G6" i="24" s="1"/>
  <c r="H6" i="24" s="1"/>
  <c r="H9" i="24" s="1"/>
  <c r="D73" i="31"/>
  <c r="E73" i="31"/>
  <c r="E14" i="4"/>
  <c r="D17" i="3"/>
  <c r="E17" i="3"/>
  <c r="E16" i="3"/>
  <c r="D16" i="3"/>
  <c r="D13" i="3"/>
  <c r="E13" i="3"/>
  <c r="D14" i="3"/>
  <c r="E14" i="3"/>
  <c r="D15" i="3"/>
  <c r="E15" i="3"/>
  <c r="E12" i="3"/>
  <c r="D12" i="3"/>
  <c r="G3" i="18"/>
  <c r="E4" i="18"/>
  <c r="E3" i="18"/>
  <c r="G5" i="18"/>
  <c r="E5" i="18"/>
  <c r="B17" i="17"/>
  <c r="E16" i="17"/>
  <c r="F16" i="17" s="1"/>
  <c r="G16" i="17" s="1"/>
  <c r="E15" i="17"/>
  <c r="F15" i="17" s="1"/>
  <c r="G15" i="17" s="1"/>
  <c r="E14" i="17"/>
  <c r="F14" i="17" s="1"/>
  <c r="G14" i="17" s="1"/>
  <c r="E13" i="17"/>
  <c r="F13" i="17" s="1"/>
  <c r="G13" i="17" s="1"/>
  <c r="E12" i="17"/>
  <c r="F12" i="17" s="1"/>
  <c r="G12" i="17" s="1"/>
  <c r="E11" i="17"/>
  <c r="F11" i="17" s="1"/>
  <c r="B16" i="16"/>
  <c r="F15" i="16"/>
  <c r="D15" i="16"/>
  <c r="F14" i="16"/>
  <c r="D14" i="16"/>
  <c r="F13" i="16"/>
  <c r="D13" i="16"/>
  <c r="F12" i="16"/>
  <c r="D12" i="16"/>
  <c r="F11" i="16"/>
  <c r="D11" i="16"/>
  <c r="F10" i="16"/>
  <c r="D10" i="16"/>
  <c r="F12" i="3"/>
  <c r="F13" i="3"/>
  <c r="F14" i="3"/>
  <c r="F15" i="3"/>
  <c r="D2" i="3"/>
  <c r="D3" i="3"/>
  <c r="D8" i="3"/>
  <c r="D7" i="3"/>
  <c r="D6" i="3"/>
  <c r="D5" i="3"/>
  <c r="B17" i="3" s="1"/>
  <c r="D4" i="3"/>
  <c r="B16" i="3" s="1"/>
  <c r="E39" i="24" l="1"/>
  <c r="D39" i="24"/>
  <c r="H36" i="29"/>
  <c r="G36" i="29"/>
  <c r="F36" i="29"/>
  <c r="E36" i="29"/>
  <c r="D36" i="29"/>
  <c r="C36" i="29"/>
  <c r="C29" i="29" s="1"/>
  <c r="C30" i="29" s="1"/>
  <c r="F38" i="36"/>
  <c r="H28" i="36"/>
  <c r="H38" i="36" s="1"/>
  <c r="F38" i="33"/>
  <c r="H38" i="33"/>
  <c r="G12" i="25"/>
  <c r="I2" i="25"/>
  <c r="I12" i="25" s="1"/>
  <c r="D12" i="26" s="1"/>
  <c r="C17" i="3"/>
  <c r="F17" i="3" s="1"/>
  <c r="C16" i="3"/>
  <c r="F16" i="3" s="1"/>
  <c r="B4" i="4"/>
  <c r="E7" i="4" s="1"/>
  <c r="F7" i="4" s="1"/>
  <c r="G7" i="4" s="1"/>
  <c r="H7" i="4" s="1"/>
  <c r="I7" i="4" s="1"/>
  <c r="J7" i="4" s="1"/>
  <c r="K7" i="4" s="1"/>
  <c r="L7" i="4" s="1"/>
  <c r="M7" i="4" s="1"/>
  <c r="N7" i="4" s="1"/>
  <c r="O7" i="4" s="1"/>
  <c r="P7" i="4" s="1"/>
  <c r="Q7" i="4" s="1"/>
  <c r="R7" i="4" s="1"/>
  <c r="S7" i="4" s="1"/>
  <c r="T7" i="4" s="1"/>
  <c r="U7" i="4" s="1"/>
  <c r="V7" i="4" s="1"/>
  <c r="W7" i="4" s="1"/>
  <c r="X7" i="4" s="1"/>
  <c r="Y7" i="4" s="1"/>
  <c r="Z7" i="4" s="1"/>
  <c r="AA7" i="4" s="1"/>
  <c r="F17" i="17"/>
  <c r="G11" i="17"/>
  <c r="G17" i="17" s="1"/>
  <c r="D16" i="16"/>
  <c r="N10" i="16"/>
  <c r="L10" i="16"/>
  <c r="J10" i="16"/>
  <c r="H10" i="16"/>
  <c r="F16" i="16"/>
  <c r="G16" i="16" s="1"/>
  <c r="O10" i="16"/>
  <c r="M10" i="16"/>
  <c r="K10" i="16"/>
  <c r="I10" i="16"/>
  <c r="G10" i="16"/>
  <c r="N11" i="16"/>
  <c r="L11" i="16"/>
  <c r="J11" i="16"/>
  <c r="H11" i="16"/>
  <c r="O11" i="16"/>
  <c r="M11" i="16"/>
  <c r="K11" i="16"/>
  <c r="I11" i="16"/>
  <c r="G11" i="16"/>
  <c r="N12" i="16"/>
  <c r="L12" i="16"/>
  <c r="J12" i="16"/>
  <c r="H12" i="16"/>
  <c r="O12" i="16"/>
  <c r="M12" i="16"/>
  <c r="K12" i="16"/>
  <c r="I12" i="16"/>
  <c r="G12" i="16"/>
  <c r="N13" i="16"/>
  <c r="L13" i="16"/>
  <c r="J13" i="16"/>
  <c r="H13" i="16"/>
  <c r="O13" i="16"/>
  <c r="M13" i="16"/>
  <c r="K13" i="16"/>
  <c r="I13" i="16"/>
  <c r="G13" i="16"/>
  <c r="N14" i="16"/>
  <c r="L14" i="16"/>
  <c r="J14" i="16"/>
  <c r="H14" i="16"/>
  <c r="O14" i="16"/>
  <c r="M14" i="16"/>
  <c r="K14" i="16"/>
  <c r="I14" i="16"/>
  <c r="G14" i="16"/>
  <c r="N15" i="16"/>
  <c r="L15" i="16"/>
  <c r="J15" i="16"/>
  <c r="H15" i="16"/>
  <c r="O15" i="16"/>
  <c r="M15" i="16"/>
  <c r="K15" i="16"/>
  <c r="I15" i="16"/>
  <c r="G15" i="16"/>
  <c r="E15" i="4"/>
  <c r="I16" i="16" l="1"/>
  <c r="K16" i="16"/>
  <c r="M16" i="16"/>
  <c r="O16" i="16"/>
  <c r="H16" i="16"/>
  <c r="H17" i="16" s="1"/>
  <c r="H18" i="16" s="1"/>
  <c r="J16" i="16"/>
  <c r="J17" i="16" s="1"/>
  <c r="J18" i="16" s="1"/>
  <c r="L16" i="16"/>
  <c r="L17" i="16" s="1"/>
  <c r="L18" i="16" s="1"/>
  <c r="N16" i="16"/>
  <c r="N17" i="16" s="1"/>
  <c r="N18" i="16" s="1"/>
</calcChain>
</file>

<file path=xl/sharedStrings.xml><?xml version="1.0" encoding="utf-8"?>
<sst xmlns="http://schemas.openxmlformats.org/spreadsheetml/2006/main" count="1402" uniqueCount="750">
  <si>
    <t>Introduction</t>
  </si>
  <si>
    <t>This spreadsheet displays the specific formulas, assumptions, and/or model inputs used to determine the estimated GHG emission reductions for each GHG reduction measure identified by Washington State's Tier C application to the Climate Pollution Reduction Grants Implementation Phase General Competition. Calculations and other information are broken up by GHG measure and grouped under tabs of the same color. Additonal information and introductions for each measure are included in the first tab of each color. Final calculation results are listed in the last tab of each color. Uncertainties associated with the estimated GHG emission reduction estimates, including those related to key assumptions, such as emission factors, activity information, economic considerations, or other data are dependent on the models used and can be found via citations to the source model, in addition to the information described under each measure and below.</t>
  </si>
  <si>
    <t>Uncertainties</t>
  </si>
  <si>
    <t>GHG reduction estimations are associated with varying degrees of uncertainty, and such uncertainties have both technical and policy implications. Uncertainty depends on the quality and availability of sufficient data to estimate emissions, or on the ability to measure emissions and properly account for their variability. Each model or method used in these calculations has its own inherent uncertainties and these can be found through the assumptions and citations provided. Addtionally, despite the best efforts of subject matter experts, future changes in policy, economics, and culture can directly and indirectly affect the reduction estimates over the 2025-2050 time period. Washington state has noted these changing factors where possible in the assumptions associated with each measure.</t>
  </si>
  <si>
    <t>Final GHG Reduction Estimates</t>
  </si>
  <si>
    <t>This set of sheets contains GHG emission reduction calculations that quantify the GHG emission reductions for the VMT Reduction through water transportation measure. This spreadsheet may show the specific formulas, assumptions, and/or model inputs used to determine the estimated GHG emission reductions. Additional assumptions are listed below and calculations are shown in the following tabs of the same color.</t>
  </si>
  <si>
    <t>Other Assumptions:</t>
  </si>
  <si>
    <t>Emissions reductions are assumed to begin in 2026 as project implementation will occur for the first year following funding dispersal.</t>
  </si>
  <si>
    <r>
      <t>VMT Emissions:</t>
    </r>
    <r>
      <rPr>
        <b/>
        <u/>
        <sz val="11"/>
        <color rgb="FF000000"/>
        <rFont val="Calibri"/>
        <family val="2"/>
        <charset val="1"/>
      </rPr>
      <t> </t>
    </r>
  </si>
  <si>
    <t>To determine an emissions baseline for traditional long-haul trucking and a new emissions baseline for barging, we first calculated emission rates per total VMT in 2023. This was completed for both the long-haul trucking and barging scenarios based on 2023 freight volume and the corresponding number of trucks required to move that freight.  </t>
  </si>
  <si>
    <t>The formula for estimating GHG reductions is [Emissions from long-haul trucking] – [Emissions from barging] = GHG emissions reductions.  </t>
  </si>
  <si>
    <t>Emissions can be calculated per VMT using the Bureau of Transportation Statistics (BTS)’s public dataset, Estimated U.S. Average Vehicle Emissions Rates per Vehicle by Vehicle Type Using Gasoline and Diesel. Calculations were made using BTS’s emissions data for a heavy-duty vehicle powered by diesel gas (model year 2015). BTS estimates that for each mile, this vehicle would emit: </t>
  </si>
  <si>
    <t>1,626.43g CO2 </t>
  </si>
  <si>
    <t>7.54g NOx </t>
  </si>
  <si>
    <t>.287g PM2.5 </t>
  </si>
  <si>
    <t>2.53g CO  </t>
  </si>
  <si>
    <t>BTS reports emission rates per VMT in grams. There are 907,184.74 grams per ton. To convert 2023 emissions for each destination from grams to tons, the following formula is used: </t>
  </si>
  <si>
    <t>(2023 VMT x Emission in grams) / 907,184.74 = 2023 Emission in tons </t>
  </si>
  <si>
    <t>Example: 42,681.6 VMT x 1,626.43g CO2 / 907,184.74 = 76.52 tons CO2 in 2023 </t>
  </si>
  <si>
    <t>Port barges freight on two routes: one from Port Angeles to Everett, WA and one from Port Angeles to Coos Bay, OR. Via the Port Angeles-Everett route, the Port sends freight to four timber manufacturers in Snohomish and Skagit Counties. The Port sends freight to another two timber manufacturers in Douglas and Coos Counties, Oregon. The following table shows road and nautical distances between Port Angeles and these six manufacturers.  </t>
  </si>
  <si>
    <r>
      <t>Table 1. Long-haul distances, nautical distances, and short-haul distances for each of the six timber manufacturers currently served by barging.</t>
    </r>
    <r>
      <rPr>
        <sz val="11"/>
        <color rgb="FF000000"/>
        <rFont val="Calibri"/>
        <family val="2"/>
        <charset val="1"/>
      </rPr>
      <t> </t>
    </r>
  </si>
  <si>
    <t> </t>
  </si>
  <si>
    <r>
      <t>Long-Haul Trucking Scenario</t>
    </r>
    <r>
      <rPr>
        <sz val="11"/>
        <color rgb="FF000000"/>
        <rFont val="Arial"/>
        <family val="2"/>
        <charset val="1"/>
      </rPr>
      <t> </t>
    </r>
  </si>
  <si>
    <r>
      <t>Barging Scenario</t>
    </r>
    <r>
      <rPr>
        <sz val="11"/>
        <color rgb="FF000000"/>
        <rFont val="Arial"/>
        <family val="2"/>
        <charset val="1"/>
      </rPr>
      <t> </t>
    </r>
  </si>
  <si>
    <r>
      <t>Business</t>
    </r>
    <r>
      <rPr>
        <sz val="11"/>
        <color rgb="FF000000"/>
        <rFont val="Arial"/>
        <family val="2"/>
        <charset val="1"/>
      </rPr>
      <t> </t>
    </r>
  </si>
  <si>
    <r>
      <t>Road distance round-trip (Port Angeles –</t>
    </r>
    <r>
      <rPr>
        <sz val="11"/>
        <color rgb="FF000000"/>
        <rFont val="Arial"/>
        <family val="2"/>
        <charset val="1"/>
      </rPr>
      <t> </t>
    </r>
  </si>
  <si>
    <r>
      <t>Nautical distance round-trip (Port Angeles – receiving port)</t>
    </r>
    <r>
      <rPr>
        <sz val="11"/>
        <color rgb="FF000000"/>
        <rFont val="Arial"/>
        <family val="2"/>
        <charset val="1"/>
      </rPr>
      <t> </t>
    </r>
  </si>
  <si>
    <r>
      <t>Road distance round-trip (Port Angeles – receiving port – business)</t>
    </r>
    <r>
      <rPr>
        <sz val="11"/>
        <color rgb="FF000000"/>
        <rFont val="Arial"/>
        <family val="2"/>
        <charset val="1"/>
      </rPr>
      <t> </t>
    </r>
  </si>
  <si>
    <r>
      <t>business)</t>
    </r>
    <r>
      <rPr>
        <sz val="11"/>
        <color rgb="FF000000"/>
        <rFont val="Arial"/>
        <family val="2"/>
        <charset val="1"/>
      </rPr>
      <t> </t>
    </r>
  </si>
  <si>
    <t>#1 - Skagit </t>
  </si>
  <si>
    <r>
      <t>262</t>
    </r>
    <r>
      <rPr>
        <sz val="10"/>
        <color rgb="FF000000"/>
        <rFont val="Arial"/>
        <family val="2"/>
        <charset val="1"/>
      </rPr>
      <t> </t>
    </r>
  </si>
  <si>
    <t>130 </t>
  </si>
  <si>
    <t>87.4 </t>
  </si>
  <si>
    <t>#2 - Snohomish </t>
  </si>
  <si>
    <r>
      <t>183.8</t>
    </r>
    <r>
      <rPr>
        <sz val="10"/>
        <color rgb="FF000000"/>
        <rFont val="Arial"/>
        <family val="2"/>
        <charset val="1"/>
      </rPr>
      <t> </t>
    </r>
  </si>
  <si>
    <t>16.4 </t>
  </si>
  <si>
    <t>#3 - Snohomish </t>
  </si>
  <si>
    <r>
      <t>176.2</t>
    </r>
    <r>
      <rPr>
        <sz val="10"/>
        <color rgb="FF000000"/>
        <rFont val="Arial"/>
        <family val="2"/>
        <charset val="1"/>
      </rPr>
      <t> </t>
    </r>
  </si>
  <si>
    <t>10.6 </t>
  </si>
  <si>
    <t>#4 - Snohomish </t>
  </si>
  <si>
    <r>
      <t>270</t>
    </r>
    <r>
      <rPr>
        <sz val="10"/>
        <color rgb="FF000000"/>
        <rFont val="Arial"/>
        <family val="2"/>
        <charset val="1"/>
      </rPr>
      <t> </t>
    </r>
  </si>
  <si>
    <t>98.2 </t>
  </si>
  <si>
    <t>#4 - Coos </t>
  </si>
  <si>
    <r>
      <t>904</t>
    </r>
    <r>
      <rPr>
        <sz val="10"/>
        <color rgb="FF000000"/>
        <rFont val="Arial"/>
        <family val="2"/>
        <charset val="1"/>
      </rPr>
      <t> </t>
    </r>
  </si>
  <si>
    <t>764 </t>
  </si>
  <si>
    <t>27.6 </t>
  </si>
  <si>
    <t>#5 - Douglas </t>
  </si>
  <si>
    <r>
      <t>838</t>
    </r>
    <r>
      <rPr>
        <sz val="10"/>
        <color rgb="FF000000"/>
        <rFont val="Arial"/>
        <family val="2"/>
        <charset val="1"/>
      </rPr>
      <t> </t>
    </r>
  </si>
  <si>
    <t>160 </t>
  </si>
  <si>
    <t>Towing Vessel Emissions: </t>
  </si>
  <si>
    <t>The last variable needed to estimate overall GHG emission reductions from this water transportation measure is the emission output from towing vessels used to move barges between ports. These emissions come from the towing vessels’ consumption of fuel. In 2023, towing vessels working on the Port’s barge routes got 5 nautical miles (nm) per gallon of diesel.  </t>
  </si>
  <si>
    <t>EPA’s dataset for the Greenhouse Gases Equivalencies Calculator estimates that for every gallon of diesel burned, 10,180g of CO2 are emitted (approximately 1 ton CO2 for every 89.1 gallons of diesel).  </t>
  </si>
  <si>
    <t>Based on the mileage rate of 5nm/gallon, we calculated the gallons required per round-trip between the Port of Port Angeles and receiving ports in Everett, WA, and Coos Bay, OR using the formula: </t>
  </si>
  <si>
    <t>Round-trip nautical miles x 5 = Gallons per round-trip to tow a loaded freight barge </t>
  </si>
  <si>
    <t>The following calculation is used to determine CO2 emissions for towing vessels in 2023: </t>
  </si>
  <si>
    <t>(Barge Trips x Gallons per Trip) / 10,180g = tons CO2 emissions </t>
  </si>
  <si>
    <t>Moving 3,220 truckloads of freight on barges emitted 602.71 tons CO2 in 2023, a rate of only .19 tons per load on average. This low per-load emission rate is thanks to water transport’s ability to move freight in mass.  </t>
  </si>
  <si>
    <t>Emissions Data for Calculations</t>
  </si>
  <si>
    <t>Grams</t>
  </si>
  <si>
    <t>Grams per Ton</t>
  </si>
  <si>
    <t>CO2 per VMT</t>
  </si>
  <si>
    <t>NOX per VMT</t>
  </si>
  <si>
    <t>PM2.5 per VMT</t>
  </si>
  <si>
    <t>CO per VMT</t>
  </si>
  <si>
    <t>CO2 per gallon of diesel</t>
  </si>
  <si>
    <t>Measurements in Tons</t>
  </si>
  <si>
    <t>Business Location (County)</t>
  </si>
  <si>
    <t>Outbound Loads</t>
  </si>
  <si>
    <t>VMT per load round-trip (Port Angeles - business)</t>
  </si>
  <si>
    <t>2023 VMT</t>
  </si>
  <si>
    <t>VMT per load round-trip with barging</t>
  </si>
  <si>
    <t>2023 VMT with barging</t>
  </si>
  <si>
    <t>% reduction in VMT with barging</t>
  </si>
  <si>
    <t>CO2 baseline</t>
  </si>
  <si>
    <t>CO2 with barging</t>
  </si>
  <si>
    <t>NOx baseline</t>
  </si>
  <si>
    <t>NOx with barging</t>
  </si>
  <si>
    <t>PM2.5 baseline</t>
  </si>
  <si>
    <t>PM2.5 with barging</t>
  </si>
  <si>
    <t>CO baseline</t>
  </si>
  <si>
    <t>CO with barging</t>
  </si>
  <si>
    <t>#1 - Skagit</t>
  </si>
  <si>
    <t>#2 - Snohomish</t>
  </si>
  <si>
    <t>#3 - Snohomish</t>
  </si>
  <si>
    <t>#4 - Snohomish</t>
  </si>
  <si>
    <t>#5 - Coos</t>
  </si>
  <si>
    <t>#5 - Douglas</t>
  </si>
  <si>
    <t>Total</t>
  </si>
  <si>
    <t>Barging Emissions Calculations</t>
  </si>
  <si>
    <t>Barge trips</t>
  </si>
  <si>
    <t>Nautical miles per round-trip</t>
  </si>
  <si>
    <t>Nautical miles per gallon</t>
  </si>
  <si>
    <t>Gallons per round-trip (barge)</t>
  </si>
  <si>
    <t>Gallons in 2023</t>
  </si>
  <si>
    <t>CO2 emissions (tons)</t>
  </si>
  <si>
    <t>The following calculation is used to estimate the proposed measure’s GHG emission reductions: </t>
  </si>
  <si>
    <t>[GHG emission reduction in 2023] x 5 project years (2026-2030)= additional emission reductions </t>
  </si>
  <si>
    <t>Barging Emissions</t>
  </si>
  <si>
    <t>CO2</t>
  </si>
  <si>
    <t>Trucking Emissions</t>
  </si>
  <si>
    <r>
      <t>Measure or Project</t>
    </r>
    <r>
      <rPr>
        <i/>
        <sz val="11"/>
        <color rgb="FF000000"/>
        <rFont val="Calibri"/>
        <family val="2"/>
        <charset val="1"/>
      </rPr>
      <t> </t>
    </r>
  </si>
  <si>
    <r>
      <t>Cumulative Reductions 2025-2030 (MTCO</t>
    </r>
    <r>
      <rPr>
        <b/>
        <i/>
        <vertAlign val="subscript"/>
        <sz val="8.35"/>
        <color rgb="FF000000"/>
        <rFont val="Calibri"/>
        <family val="2"/>
        <charset val="1"/>
      </rPr>
      <t>2</t>
    </r>
    <r>
      <rPr>
        <b/>
        <i/>
        <sz val="11"/>
        <color rgb="FF000000"/>
        <rFont val="Calibri"/>
        <family val="2"/>
        <charset val="1"/>
      </rPr>
      <t>e)</t>
    </r>
    <r>
      <rPr>
        <i/>
        <sz val="11"/>
        <color rgb="FF000000"/>
        <rFont val="Calibri"/>
        <family val="2"/>
        <charset val="1"/>
      </rPr>
      <t> </t>
    </r>
  </si>
  <si>
    <r>
      <t>Cumulative Reductions 2025-2050 (MTCO</t>
    </r>
    <r>
      <rPr>
        <b/>
        <i/>
        <vertAlign val="subscript"/>
        <sz val="8.35"/>
        <color rgb="FF000000"/>
        <rFont val="Calibri"/>
        <family val="2"/>
        <charset val="1"/>
      </rPr>
      <t>2</t>
    </r>
    <r>
      <rPr>
        <b/>
        <i/>
        <sz val="11"/>
        <color rgb="FF000000"/>
        <rFont val="Calibri"/>
        <family val="2"/>
        <charset val="1"/>
      </rPr>
      <t>e)</t>
    </r>
    <r>
      <rPr>
        <i/>
        <sz val="11"/>
        <color rgb="FF000000"/>
        <rFont val="Calibri"/>
        <family val="2"/>
        <charset val="1"/>
      </rPr>
      <t> </t>
    </r>
  </si>
  <si>
    <t>Short-haul trucking</t>
  </si>
  <si>
    <t>Long-haul trucking</t>
  </si>
  <si>
    <t>Barging activity in 2023 resulted in 725.21 fewer tons of CO2 emissions. Without implementation of this measure, this baseline barging activity will result in 3,626.05 tons of CO2 reduced from 2025-2030.  </t>
  </si>
  <si>
    <t>Barge towing</t>
  </si>
  <si>
    <t>Mode switch, reduction in VMT </t>
  </si>
  <si>
    <t>Total CO2 (tons)</t>
  </si>
  <si>
    <r>
      <rPr>
        <sz val="11"/>
        <color rgb="FF000000"/>
        <rFont val="Calibri"/>
      </rPr>
      <t>With implementation of this measure, barging’s GHG reductions will double to 7,252.1 tons from 2025-2030 (</t>
    </r>
    <r>
      <rPr>
        <b/>
        <sz val="11"/>
        <color rgb="FF000000"/>
        <rFont val="Calibri"/>
      </rPr>
      <t>an additional 3,626.05 from the baseline</t>
    </r>
    <r>
      <rPr>
        <sz val="11"/>
        <color rgb="FF000000"/>
        <rFont val="Calibri"/>
      </rPr>
      <t>).  </t>
    </r>
  </si>
  <si>
    <t>Emission Reductions 2025 – 2050 </t>
  </si>
  <si>
    <t>Without implementation of this measure, this baseline barging activity will result in 18,130.25 tons of CO2 reduced from 2025-2050. </t>
  </si>
  <si>
    <r>
      <rPr>
        <sz val="11"/>
        <color rgb="FF000000"/>
        <rFont val="Calibri"/>
      </rPr>
      <t>With implementation of this measure, barging’s GHG reductions will double to 36,260.5 tons reduced from 2025-2050 (</t>
    </r>
    <r>
      <rPr>
        <b/>
        <sz val="11"/>
        <color rgb="FF000000"/>
        <rFont val="Calibri"/>
      </rPr>
      <t>an additional 18,130.25 from the baseline</t>
    </r>
    <r>
      <rPr>
        <sz val="11"/>
        <color rgb="FF000000"/>
        <rFont val="Calibri"/>
      </rPr>
      <t>). </t>
    </r>
  </si>
  <si>
    <t>This set of sheets contains GHG emission reduction calculations that quantify the GHG emission reductions for the Rail Decarbonization measure. This spreadsheet may show the specific formulas, assumptions, and/or model inputs used to determine the estimated GHG emission reductions. Additional assumptions are listed below and calculations are shown in the following tabs of the same color.</t>
  </si>
  <si>
    <t>Emissions conversion rates based on calculations done by Cummins and Western Rail are shown in the Engine Emission Conversions tab.</t>
  </si>
  <si>
    <t>Emissions savings for converting from engine types to Tier 3 and Tier 4 are averaged across all possible conversions to determine annual emissions savings in the Measure Emissions Reductions tab.</t>
  </si>
  <si>
    <t>Assuming engines number 1 and 2 can only be converted to either engines number 5 or 6 and engines number 3 and 4 can only be converted to engine number 7 in the Engine Emission Conversions tab.</t>
  </si>
  <si>
    <t>Emissions factors derived from EPA Mandatory GHG Reporting: https://www.ecfr.gov/current/title-40/chapter-I/subchapter-C/part-98.</t>
  </si>
  <si>
    <t>Locomotive Repower Engine:</t>
  </si>
  <si>
    <t>Tier 4 QST30</t>
  </si>
  <si>
    <t>1500 bhp</t>
  </si>
  <si>
    <t>Applicable Locomotive Models:</t>
  </si>
  <si>
    <t>EMD SW1500, MP15, GP15</t>
  </si>
  <si>
    <t>Days</t>
  </si>
  <si>
    <t>Hrs/day</t>
  </si>
  <si>
    <t>Replacing Engine Model:</t>
  </si>
  <si>
    <t>EMD 12-645E</t>
  </si>
  <si>
    <t>M-F</t>
  </si>
  <si>
    <t>Sat</t>
  </si>
  <si>
    <t>input cells</t>
  </si>
  <si>
    <t>Sun</t>
  </si>
  <si>
    <t>Rated Power</t>
  </si>
  <si>
    <t>bHP</t>
  </si>
  <si>
    <t>per week</t>
  </si>
  <si>
    <t>Daily Run</t>
  </si>
  <si>
    <t>hours</t>
  </si>
  <si>
    <t>avg/day</t>
  </si>
  <si>
    <t>Hrs/yr</t>
  </si>
  <si>
    <t>based on run days/year of:</t>
  </si>
  <si>
    <t>RR Fuel</t>
  </si>
  <si>
    <t>per gallon</t>
  </si>
  <si>
    <t>GEN-5+ Oil</t>
  </si>
  <si>
    <t>CJ-4 Oil</t>
  </si>
  <si>
    <t>Benefits shown in green cells</t>
  </si>
  <si>
    <t>FUEL CONSUMPTION COMPARISON</t>
  </si>
  <si>
    <t>(updated 11/10/2021 with cert data for T4 SW rating)</t>
  </si>
  <si>
    <t>EPA SW Duty Cycle</t>
  </si>
  <si>
    <t>EPA est. pre-Tier 0 EMD 12-645E, rated 1500 HP</t>
  </si>
  <si>
    <t>Cummins EPA certified Tier 4 QST30 w/ AESS @ 1500 HP</t>
  </si>
  <si>
    <t>SW1500 Fuel Consumption</t>
  </si>
  <si>
    <t>Notch</t>
  </si>
  <si>
    <t>% Notch</t>
  </si>
  <si>
    <t>lb/hr</t>
  </si>
  <si>
    <t>gph</t>
  </si>
  <si>
    <t>Wtd GPH</t>
  </si>
  <si>
    <t>Gals/day</t>
  </si>
  <si>
    <t>BSFC</t>
  </si>
  <si>
    <t>vs. EMD</t>
  </si>
  <si>
    <t>vs QST30</t>
  </si>
  <si>
    <t>Idle</t>
  </si>
  <si>
    <t>Dyn Brake</t>
  </si>
  <si>
    <t>Avg LF</t>
  </si>
  <si>
    <t>Weighted Total</t>
  </si>
  <si>
    <r>
      <t xml:space="preserve">without AESS </t>
    </r>
    <r>
      <rPr>
        <b/>
        <sz val="11"/>
        <color rgb="FFFF0000"/>
        <rFont val="Wingdings"/>
        <charset val="2"/>
      </rPr>
      <t>è</t>
    </r>
  </si>
  <si>
    <r>
      <t>Cummins</t>
    </r>
    <r>
      <rPr>
        <sz val="11"/>
        <color rgb="FF000000"/>
        <rFont val="Calibri"/>
        <family val="2"/>
      </rPr>
      <t xml:space="preserve"> vs </t>
    </r>
    <r>
      <rPr>
        <b/>
        <sz val="11"/>
        <color rgb="FF0070C0"/>
        <rFont val="Calibri"/>
        <family val="2"/>
      </rPr>
      <t>EMD</t>
    </r>
    <r>
      <rPr>
        <sz val="11"/>
        <color rgb="FF000000"/>
        <rFont val="Calibri"/>
        <family val="2"/>
      </rPr>
      <t xml:space="preserve"> Comparison</t>
    </r>
  </si>
  <si>
    <t>FUEL</t>
  </si>
  <si>
    <t>Gal/day savings</t>
  </si>
  <si>
    <t>Run Days / year</t>
  </si>
  <si>
    <t>Annual Gallon savings</t>
  </si>
  <si>
    <t>$/gal</t>
  </si>
  <si>
    <t>Annual Savings</t>
  </si>
  <si>
    <t>15 Year Savings</t>
  </si>
  <si>
    <t>EPA data</t>
  </si>
  <si>
    <t>ç</t>
  </si>
  <si>
    <t>Horizon SW1500</t>
  </si>
  <si>
    <t>LUBE OIL CONSUMPTION COMPARISON</t>
  </si>
  <si>
    <t>Cummins</t>
  </si>
  <si>
    <t>Engine Oil Capacity (Gal)</t>
  </si>
  <si>
    <t>BSOC (lb/bhp-hr)</t>
  </si>
  <si>
    <t>Rated bHP</t>
  </si>
  <si>
    <t>Avg Load Factor</t>
  </si>
  <si>
    <t>GPH</t>
  </si>
  <si>
    <t>ENGINE LUBE OIL CONSUMPTION</t>
  </si>
  <si>
    <t>EMD, pre-Tier 0 to Tier 2</t>
  </si>
  <si>
    <t>GPH/Cyl</t>
  </si>
  <si>
    <t># Cyl</t>
  </si>
  <si>
    <t>Gal/day</t>
  </si>
  <si>
    <t>LUBE OIL COSTS - ANNUAL &amp; 15-YEAR</t>
  </si>
  <si>
    <t xml:space="preserve">Gal/day </t>
  </si>
  <si>
    <t>Run Days /year</t>
  </si>
  <si>
    <t>Annual Gallons</t>
  </si>
  <si>
    <t>CJ-4  10W40 $/gal</t>
  </si>
  <si>
    <t>Annual Cost</t>
  </si>
  <si>
    <t>15 Year Cost</t>
  </si>
  <si>
    <t>Oil Cons.</t>
  </si>
  <si>
    <t>Oil Change</t>
  </si>
  <si>
    <t>Totals</t>
  </si>
  <si>
    <t>EMD</t>
  </si>
  <si>
    <t>LUBE OIL</t>
  </si>
  <si>
    <t>Gen5+ 20W40 $/gal</t>
  </si>
  <si>
    <r>
      <t xml:space="preserve">Cummins vs </t>
    </r>
    <r>
      <rPr>
        <b/>
        <sz val="11"/>
        <color rgb="FF0070C0"/>
        <rFont val="Calibri"/>
        <family val="2"/>
      </rPr>
      <t>EMD</t>
    </r>
  </si>
  <si>
    <t>LUBE OIL SAVINGS</t>
  </si>
  <si>
    <t xml:space="preserve">Gal/day Savings </t>
  </si>
  <si>
    <t>Annual Gallon Savings</t>
  </si>
  <si>
    <t>Annual  Savings</t>
  </si>
  <si>
    <t>15 Year Saving</t>
  </si>
  <si>
    <t>Tier 3 QSK50</t>
  </si>
  <si>
    <t>2000 bhp</t>
  </si>
  <si>
    <t>EMD GP9, GP10, GP20, GP28, GP38</t>
  </si>
  <si>
    <r>
      <t xml:space="preserve">EMD 16-645E </t>
    </r>
    <r>
      <rPr>
        <sz val="14"/>
        <color rgb="FF000000"/>
        <rFont val="Calibri"/>
        <family val="2"/>
      </rPr>
      <t>(assumes 16-567C/D were upgraded to 645 power packs)</t>
    </r>
  </si>
  <si>
    <t>RR Oil</t>
  </si>
  <si>
    <t>EPA est. pre-Tier 0 EMD 16-645E, rated 2000 tHP</t>
  </si>
  <si>
    <t>Cummins EPA certified Tier 3 QSK50, 2000 bhp w/ AESS</t>
  </si>
  <si>
    <t>Horizon Rail GP38 2000 thp Fuel Consumption</t>
  </si>
  <si>
    <t>vs EPA</t>
  </si>
  <si>
    <r>
      <t>Cummins</t>
    </r>
    <r>
      <rPr>
        <b/>
        <sz val="11"/>
        <color rgb="FF000000"/>
        <rFont val="Calibri"/>
        <family val="2"/>
      </rPr>
      <t xml:space="preserve"> vs </t>
    </r>
    <r>
      <rPr>
        <b/>
        <sz val="11"/>
        <color rgb="FF0070C0"/>
        <rFont val="Calibri"/>
        <family val="2"/>
      </rPr>
      <t>EMD</t>
    </r>
    <r>
      <rPr>
        <b/>
        <sz val="11"/>
        <color rgb="FF000000"/>
        <rFont val="Calibri"/>
        <family val="2"/>
      </rPr>
      <t xml:space="preserve"> Comparison</t>
    </r>
  </si>
  <si>
    <t>Duty Cycle</t>
  </si>
  <si>
    <r>
      <t xml:space="preserve">LUBE OIL,  </t>
    </r>
    <r>
      <rPr>
        <b/>
        <u/>
        <sz val="11"/>
        <color rgb="FF000000"/>
        <rFont val="Calibri"/>
        <family val="2"/>
      </rPr>
      <t>withou</t>
    </r>
    <r>
      <rPr>
        <b/>
        <sz val="11"/>
        <color rgb="FF000000"/>
        <rFont val="Calibri"/>
        <family val="2"/>
      </rPr>
      <t>t Centinel</t>
    </r>
  </si>
  <si>
    <t>Run Days/yr</t>
  </si>
  <si>
    <r>
      <t xml:space="preserve">LUBE OIL,  </t>
    </r>
    <r>
      <rPr>
        <b/>
        <u/>
        <sz val="11"/>
        <color rgb="FF000000"/>
        <rFont val="Calibri"/>
        <family val="2"/>
      </rPr>
      <t>with</t>
    </r>
    <r>
      <rPr>
        <b/>
        <sz val="11"/>
        <color rgb="FF000000"/>
        <rFont val="Calibri"/>
        <family val="2"/>
      </rPr>
      <t xml:space="preserve"> Centinel</t>
    </r>
  </si>
  <si>
    <t>Centinel</t>
  </si>
  <si>
    <t>2130 bhp</t>
  </si>
  <si>
    <t>Cummins EPA certified Tier 3 QSK50, 2130 bhp w/ AESS</t>
  </si>
  <si>
    <t>Horizon GP38</t>
  </si>
  <si>
    <t>FUEL CONSUMPTION COMPARISON by Engine Type</t>
  </si>
  <si>
    <t>Gals/Day</t>
  </si>
  <si>
    <t>Run Days/Year</t>
  </si>
  <si>
    <t>Total Gal/Yr</t>
  </si>
  <si>
    <t>Conversion Compatiblity</t>
  </si>
  <si>
    <t xml:space="preserve">Base Scenario: Conversions Only </t>
  </si>
  <si>
    <t>Min Est. Amount</t>
  </si>
  <si>
    <t>Max Est. Amount</t>
  </si>
  <si>
    <t>Average Est. Amount</t>
  </si>
  <si>
    <t>1. EPA est. pre-Tier 0 EMD 16-645E, rated 2000 tHP</t>
  </si>
  <si>
    <t>Tier 3</t>
  </si>
  <si>
    <t>No Build - Existing Two-Bay Facility Annual Conversion Output</t>
  </si>
  <si>
    <t xml:space="preserve">2. Horizon Rail GP38 2000 thp </t>
  </si>
  <si>
    <t>Build - New Four-Bay Faciltiy Annual Conversion Output*</t>
  </si>
  <si>
    <t>*This scenario is the one the grant will be funding and therefore all emissions calculations are based on the "Build" scenario.</t>
  </si>
  <si>
    <t>3. EPA est. pre-Tier 0 EMD 12-645E, rated 1500 HP</t>
  </si>
  <si>
    <t>Tier 4</t>
  </si>
  <si>
    <t>Combined Existing + New Facility Annual Conversion Output</t>
  </si>
  <si>
    <t xml:space="preserve">4. SW1500 </t>
  </si>
  <si>
    <t>5. Cummins EPA certified Tier 3 QSK50, 2000 bhp w/ AESS</t>
  </si>
  <si>
    <t>6. Cummins EPA certified Tier 3 QSK50, 2130 bhp w/ AESS</t>
  </si>
  <si>
    <t>7. Cummins EPA certified Tier 4 QST30 w/ AESS @ 1500 HP</t>
  </si>
  <si>
    <t>Single Engine Conversion Comparison Scenarios</t>
  </si>
  <si>
    <t>Current Annual Fuel Use (Before)</t>
  </si>
  <si>
    <t>Future Annual Fuel Use (After)</t>
  </si>
  <si>
    <t>Annual Emissions Before</t>
  </si>
  <si>
    <t>Annual Emissions After</t>
  </si>
  <si>
    <t xml:space="preserve"> Annual CO2e Savings (avoided)</t>
  </si>
  <si>
    <t>Fuel Quantity</t>
  </si>
  <si>
    <t>CO2e (MT)</t>
  </si>
  <si>
    <t>Convert Engine #1 to Cummins Engine #5</t>
  </si>
  <si>
    <t>Convert Engine #1 to Cummins Engine #6</t>
  </si>
  <si>
    <t>Convert Engine #2 to Cummins Engine #5</t>
  </si>
  <si>
    <t>Convert Engine #2 to Cummins Engine #6</t>
  </si>
  <si>
    <t>Convert Engine #3 to Cummins Engine #7</t>
  </si>
  <si>
    <t>Convert Engine #4 to Cummins Engine #7</t>
  </si>
  <si>
    <t>Example GHG reduction Calculation</t>
  </si>
  <si>
    <t>Project Years</t>
  </si>
  <si>
    <t>MTCO2 per year -Convert Engine #1 to Cummins Engine #5</t>
  </si>
  <si>
    <t>PY1</t>
  </si>
  <si>
    <t>PY2</t>
  </si>
  <si>
    <t>PY3</t>
  </si>
  <si>
    <t>PY4</t>
  </si>
  <si>
    <t>PY5</t>
  </si>
  <si>
    <t>PY6</t>
  </si>
  <si>
    <t>PY7</t>
  </si>
  <si>
    <t>PY8</t>
  </si>
  <si>
    <t>PY9</t>
  </si>
  <si>
    <t>PY10</t>
  </si>
  <si>
    <t>PY11</t>
  </si>
  <si>
    <t>PY12</t>
  </si>
  <si>
    <t>PY13</t>
  </si>
  <si>
    <t>PY14</t>
  </si>
  <si>
    <t>PY15</t>
  </si>
  <si>
    <t>PY16</t>
  </si>
  <si>
    <t>P717</t>
  </si>
  <si>
    <t>PY18</t>
  </si>
  <si>
    <t>PY19</t>
  </si>
  <si>
    <t>PY20</t>
  </si>
  <si>
    <t>PY21</t>
  </si>
  <si>
    <t>PY22</t>
  </si>
  <si>
    <t>Baseline annual emissions per engine before conversion</t>
  </si>
  <si>
    <t>New annual emissions per engine after conversion</t>
  </si>
  <si>
    <t>Cumulative emissions avoided</t>
  </si>
  <si>
    <r>
      <rPr>
        <b/>
        <sz val="11"/>
        <color theme="1"/>
        <rFont val="Calibri"/>
        <family val="2"/>
        <scheme val="minor"/>
      </rPr>
      <t xml:space="preserve">No Build </t>
    </r>
    <r>
      <rPr>
        <sz val="11"/>
        <color theme="1"/>
        <rFont val="Calibri"/>
        <family val="2"/>
        <scheme val="minor"/>
      </rPr>
      <t>Scenario (avg. 3 conversions per year)</t>
    </r>
  </si>
  <si>
    <r>
      <rPr>
        <b/>
        <sz val="11"/>
        <color theme="1"/>
        <rFont val="Calibri"/>
        <family val="2"/>
        <scheme val="minor"/>
      </rPr>
      <t xml:space="preserve">Build </t>
    </r>
    <r>
      <rPr>
        <sz val="11"/>
        <color theme="1"/>
        <rFont val="Calibri"/>
        <family val="2"/>
        <scheme val="minor"/>
      </rPr>
      <t>Scenario (avg. 6 conversions per year)</t>
    </r>
  </si>
  <si>
    <t>Emission Factor for Diesel</t>
  </si>
  <si>
    <t>Average emissions savings from all engine conversions</t>
  </si>
  <si>
    <t>6 New Conversions per year</t>
  </si>
  <si>
    <t>Year</t>
  </si>
  <si>
    <t>1 Conversion of each type per year</t>
  </si>
  <si>
    <t>Emissions Reduced</t>
  </si>
  <si>
    <t>Conversions estimated to begin in 2028 after 3 year facility construction period.</t>
  </si>
  <si>
    <t>Emissions Reduced 2025-2030</t>
  </si>
  <si>
    <t>Emissions Reduced 2025-2050</t>
  </si>
  <si>
    <t>This set of sheets contains GHG emission reduction calculations that quantify the GHG emission reductions for the Vehicle to Grid measure. This spreadsheet may show the specific formulas, assumptions, and/or model inputs used to determine the estimated GHG emission reductions. Additional assumptions are listed below and calculations are shown in the following tabs of the same color.</t>
  </si>
  <si>
    <t>Data availability may be limited for some historic baselines, so averages and assumptions will be utilized where necessary. </t>
  </si>
  <si>
    <t>Vehicle purchases are likely to happen over a staggered timeline, assuming supply chain issues do not hinder that progress. </t>
  </si>
  <si>
    <r>
      <t>Implementation milestones: Looking to implement over 5 years with the 1</t>
    </r>
    <r>
      <rPr>
        <vertAlign val="superscript"/>
        <sz val="6.6"/>
        <color rgb="FF000000"/>
        <rFont val="Calibri"/>
        <family val="2"/>
        <charset val="1"/>
      </rPr>
      <t>st</t>
    </r>
    <r>
      <rPr>
        <sz val="11"/>
        <color rgb="FF000000"/>
        <rFont val="Calibri"/>
        <family val="2"/>
        <charset val="1"/>
      </rPr>
      <t xml:space="preserve"> year being planning, software implementation, system analysis, etc and the remaining years purchasing, installation of charging stations and data collection. </t>
    </r>
  </si>
  <si>
    <t>Capital cost assumptions- See budget. </t>
  </si>
  <si>
    <t>Operation and maintenance cost assumptions: In Cost per Mile (CPM) </t>
  </si>
  <si>
    <t>Sources for the various emission factors and assumptions are listed below:  </t>
  </si>
  <si>
    <t>Greenhouse Gases Equivalencies Calculator - Calculations and References | US EPA  </t>
  </si>
  <si>
    <t>Greenhouse Gas Emissions from a Typical Passenger Vehicle | US EPA  </t>
  </si>
  <si>
    <t>eCFR :: Table A-2 to Subpart A of Part 98, Title 40 -- Units of Measure Conversions  </t>
  </si>
  <si>
    <t>City of Spokane 2019 Greenhouse Gas Inventory Report (spokanecity.org)  </t>
  </si>
  <si>
    <t>Electric Car kWh Per Mile List (ecocostsavings.com)  </t>
  </si>
  <si>
    <t>Calculator - Annual Estimated GHG Reductions from Switching from Gasoline to Electric Vehicle in MT CO2e</t>
  </si>
  <si>
    <t>Input values in green boxes to calculate</t>
  </si>
  <si>
    <t>Inputs</t>
  </si>
  <si>
    <t>Values</t>
  </si>
  <si>
    <t>Sources</t>
  </si>
  <si>
    <t>Average Annual Gallons of Gasoline Consumed</t>
  </si>
  <si>
    <t>total annual gasoline consumed by fleet vehicles divided by total number of vehicles</t>
  </si>
  <si>
    <t>Average Annual Miles Driven</t>
  </si>
  <si>
    <t>annual average calculated from daily average for all project's fleet vehicles divided by total number of vehicles</t>
  </si>
  <si>
    <t>kWh per mile of target vehicle</t>
  </si>
  <si>
    <t>Ford F-150 Lightning EPA Range And Efficiency Officially Listed (insideevs.com)</t>
  </si>
  <si>
    <t>Total number of gasoline vehicles converted to EV</t>
  </si>
  <si>
    <t>project's anticipated fleet vehicle conversion</t>
  </si>
  <si>
    <t>Conversions</t>
  </si>
  <si>
    <t>Metric Tons of CO2 per gallon of gasoline</t>
  </si>
  <si>
    <t>Greenhouse Gases Equivalencies Calculator - Calculations and References | US EPA</t>
  </si>
  <si>
    <t>CO2 to CO2e upscale (includes CO2, CH4, N20)</t>
  </si>
  <si>
    <t>Avista electricity CO2 emissions (CO2 kg/MWh)</t>
  </si>
  <si>
    <t>City of Spokane 2019 Greenhouse Gas Inventory Report (spokanecity.org)</t>
  </si>
  <si>
    <t>Avista electricity CH4 emissions (CH4 kg/GWh)</t>
  </si>
  <si>
    <t>Avista electricity N20 emissions (N20 kg/GWh)</t>
  </si>
  <si>
    <t>Global Warming Potential - CH4 to CO2e factor (100 year)</t>
  </si>
  <si>
    <t>eCFR :: Table A-2 to Subpart A of Part 98, Title 40 -- Units of Measure Conversions</t>
  </si>
  <si>
    <t>Global Warming Potential - N2O to CO2e factor (100 year)</t>
  </si>
  <si>
    <t>Avista CO2e (kg/MWh)</t>
  </si>
  <si>
    <t>calculated from above data</t>
  </si>
  <si>
    <t>Annual Estimated GHG Reductions from Switching from Gasoline to Electric Vehicle in MT CO2e</t>
  </si>
  <si>
    <t>=[historic emissions] - [projected emissions]</t>
  </si>
  <si>
    <t>=[(annual gallons of gasoline consumed) x (GHG equivalency factors for fuel)] - [(annual miles driven) x (kWh per mile) x (GHG equivalency factor for electricity)]</t>
  </si>
  <si>
    <t>Historic Emissions</t>
  </si>
  <si>
    <t>Projected Emissions</t>
  </si>
  <si>
    <t>Annual Estimated GHG Reductions from Switching from Gasoline to Electric Vehicle</t>
  </si>
  <si>
    <t>MT CO2e (CO2, CH4, and N2O)</t>
  </si>
  <si>
    <t>2025-2030</t>
  </si>
  <si>
    <t>2025-2050</t>
  </si>
  <si>
    <t>Assuming vehicle conversion rate on following tab:</t>
  </si>
  <si>
    <t>Emissions Reductions Per Year</t>
  </si>
  <si>
    <r>
      <t xml:space="preserve">Estimated Vehicle Conversion Rate </t>
    </r>
    <r>
      <rPr>
        <b/>
        <sz val="18"/>
        <color rgb="FF000000"/>
        <rFont val="Calibri"/>
        <family val="2"/>
      </rPr>
      <t>(feeds into vehicle to grid reduction tab estimates)</t>
    </r>
  </si>
  <si>
    <t>Project List Converted</t>
  </si>
  <si>
    <t>MT CO2e Reduction</t>
  </si>
  <si>
    <t>Fleet electrification plus vehicle to grid</t>
  </si>
  <si>
    <t>This set of sheets contains GHG emission reduction calculations that quantify the GHG emission reductions for the Tribal Fleet Electrification measure. This spreadsheet may show the specific formulas, assumptions, and/or model inputs used to determine the estimated GHG emission reductions. Additional assumptions are listed below and calculations are shown in the following tabs of the same color.</t>
  </si>
  <si>
    <t>Assuming grid emissions for EV conversion comes from Bonneville Power Administration.</t>
  </si>
  <si>
    <t>Assume solar projects take until the beginning of 2027 to implement and build.</t>
  </si>
  <si>
    <t>Assume fleet purchasing occurs by the beginning of 2026.</t>
  </si>
  <si>
    <t>EPA factors for CO₂ to CO₂e upscaling is used when only CO₂ per gallon of fuel is known.  </t>
  </si>
  <si>
    <t>CO₂e calculations are comprised of CO₂, CH₄, and N₂O emissions only.  </t>
  </si>
  <si>
    <t>Amount of fossil fuels displaced by battery assumes BTU equivalent energy content to calculate reductions.  </t>
  </si>
  <si>
    <t>Fossil fuel use per unit of time averaged from historic generator data where available to estimate amount of fuel displaced.  </t>
  </si>
  <si>
    <t>Annual gallons of fuel consumed, and miles driven, will be consistent for future years.  </t>
  </si>
  <si>
    <t>kW Solar installation estimate</t>
  </si>
  <si>
    <t>Using AVERT:</t>
  </si>
  <si>
    <t>https://www.epa.gov/avert/avert-web-edition</t>
  </si>
  <si>
    <t>Load profile from 230 kW of solar in the PNW region will displace 1 gWh annually</t>
  </si>
  <si>
    <t>Emission and Cost Reduction Estimates (Optional)</t>
  </si>
  <si>
    <r>
      <t>This tab provides a variety of simple tools for quickly estimating GHG reduction and cost savings for mitigation projects.</t>
    </r>
    <r>
      <rPr>
        <b/>
        <sz val="11"/>
        <rFont val="Calibri"/>
        <family val="2"/>
        <scheme val="minor"/>
      </rPr>
      <t xml:space="preserve"> This tab is available for your agency's internal use and is not required for reporting.</t>
    </r>
  </si>
  <si>
    <t>NOTE REGARDING ELECTRICITY EMISSIONS FORECAST:</t>
  </si>
  <si>
    <r>
      <t>As agencies plan future emission reduction projects, keep in mind that the electricity grid is moving toward carbon neutrality by 2030, making all-electric buildings and vehicles zero GHG emissions. The transformation away from fossil fuels requires that all energy be used as efficiently as possible and remaining energy use come from clean electricity and renewable fuels. This simple calculator</t>
    </r>
    <r>
      <rPr>
        <b/>
        <sz val="11"/>
        <color theme="1"/>
        <rFont val="Calibri"/>
        <family val="2"/>
        <scheme val="minor"/>
      </rPr>
      <t xml:space="preserve"> does not include a projection of declining future emissions from electricity</t>
    </r>
    <r>
      <rPr>
        <sz val="11"/>
        <color theme="1"/>
        <rFont val="Calibri"/>
        <family val="2"/>
        <scheme val="minor"/>
      </rPr>
      <t xml:space="preserve"> - it holds current emission levels steady into the future.  </t>
    </r>
  </si>
  <si>
    <t>Resources for state buildings can be found here:</t>
  </si>
  <si>
    <t>https://des.wa.gov/services/facilities-leasing/energy-program/resource-conservation-management-program</t>
  </si>
  <si>
    <t>How to Use this Calculator</t>
  </si>
  <si>
    <r>
      <t xml:space="preserve">1. Enter the </t>
    </r>
    <r>
      <rPr>
        <b/>
        <sz val="11"/>
        <color theme="1"/>
        <rFont val="Calibri"/>
        <family val="2"/>
        <scheme val="minor"/>
      </rPr>
      <t>current annual quantity of fuel</t>
    </r>
    <r>
      <rPr>
        <sz val="11"/>
        <color theme="1"/>
        <rFont val="Calibri"/>
        <family val="2"/>
        <scheme val="minor"/>
      </rPr>
      <t xml:space="preserve"> used in the </t>
    </r>
    <r>
      <rPr>
        <sz val="11"/>
        <color theme="5" tint="-0.249977111117893"/>
        <rFont val="Calibri"/>
        <family val="2"/>
        <scheme val="minor"/>
      </rPr>
      <t>orange</t>
    </r>
    <r>
      <rPr>
        <sz val="11"/>
        <color theme="1"/>
        <rFont val="Calibri"/>
        <family val="2"/>
        <scheme val="minor"/>
      </rPr>
      <t xml:space="preserve"> cells in the </t>
    </r>
    <r>
      <rPr>
        <b/>
        <sz val="11"/>
        <color theme="1"/>
        <rFont val="Calibri"/>
        <family val="2"/>
        <scheme val="minor"/>
      </rPr>
      <t>before</t>
    </r>
    <r>
      <rPr>
        <sz val="11"/>
        <color theme="1"/>
        <rFont val="Calibri"/>
        <family val="2"/>
        <scheme val="minor"/>
      </rPr>
      <t xml:space="preserve"> column.</t>
    </r>
  </si>
  <si>
    <r>
      <t>2. Enter the f</t>
    </r>
    <r>
      <rPr>
        <b/>
        <sz val="11"/>
        <color theme="1"/>
        <rFont val="Calibri"/>
        <family val="2"/>
        <scheme val="minor"/>
      </rPr>
      <t>uture quantity of fuel</t>
    </r>
    <r>
      <rPr>
        <sz val="11"/>
        <color theme="1"/>
        <rFont val="Calibri"/>
        <family val="2"/>
        <scheme val="minor"/>
      </rPr>
      <t xml:space="preserve"> to be used (after project completion) in the </t>
    </r>
    <r>
      <rPr>
        <sz val="11"/>
        <color theme="5" tint="-0.249977111117893"/>
        <rFont val="Calibri"/>
        <family val="2"/>
        <scheme val="minor"/>
      </rPr>
      <t>orange</t>
    </r>
    <r>
      <rPr>
        <sz val="11"/>
        <color theme="1"/>
        <rFont val="Calibri"/>
        <family val="2"/>
        <scheme val="minor"/>
      </rPr>
      <t xml:space="preserve"> cells in the </t>
    </r>
    <r>
      <rPr>
        <b/>
        <sz val="11"/>
        <color theme="1"/>
        <rFont val="Calibri"/>
        <family val="2"/>
        <scheme val="minor"/>
      </rPr>
      <t>after</t>
    </r>
    <r>
      <rPr>
        <sz val="11"/>
        <color theme="1"/>
        <rFont val="Calibri"/>
        <family val="2"/>
        <scheme val="minor"/>
      </rPr>
      <t xml:space="preserve"> column. </t>
    </r>
  </si>
  <si>
    <r>
      <t>3. If you are using d</t>
    </r>
    <r>
      <rPr>
        <b/>
        <sz val="11"/>
        <color theme="1"/>
        <rFont val="Calibri"/>
        <family val="2"/>
        <scheme val="minor"/>
      </rPr>
      <t>iesel with a portion of biodiesel</t>
    </r>
    <r>
      <rPr>
        <sz val="11"/>
        <color theme="1"/>
        <rFont val="Calibri"/>
        <family val="2"/>
        <scheme val="minor"/>
      </rPr>
      <t xml:space="preserve"> or renewable diesel, put those percentages in the next column.</t>
    </r>
  </si>
  <si>
    <t xml:space="preserve">4. For multiple projects, copy this tab as often as needed. </t>
  </si>
  <si>
    <t>CAUTION: This sheet is not protected so you can change it as needed. New copies can be found at Ecology's website.</t>
  </si>
  <si>
    <t>Estimate Emission Reductions</t>
  </si>
  <si>
    <t>Enter the year project will be installed &gt;&gt;&gt;</t>
  </si>
  <si>
    <t>Fuel Type</t>
  </si>
  <si>
    <t xml:space="preserve">Bio/ Renewable Diesel % </t>
  </si>
  <si>
    <t>Gasoline (gallons per year)</t>
  </si>
  <si>
    <t>Diesel (gallons per year)</t>
  </si>
  <si>
    <t>Electricity (kWh per year)</t>
  </si>
  <si>
    <t>(1gWh)</t>
  </si>
  <si>
    <t>Natural Gas (Therms per year)</t>
  </si>
  <si>
    <t>Aviation Gasoline (gallons per year)</t>
  </si>
  <si>
    <t>Fuel Oil (Gallons per year)</t>
  </si>
  <si>
    <t>Jet Fuel (gallons per year)</t>
  </si>
  <si>
    <t>Propane (Gallons per year)</t>
  </si>
  <si>
    <t>Purchased Steam (Million lbs - Mlbs per year)</t>
  </si>
  <si>
    <t>&lt;&lt;&lt; MTCO2e saved each year</t>
  </si>
  <si>
    <t>Additional Tools and Resources:</t>
  </si>
  <si>
    <t>Your project reduced the equivalent amount as:</t>
  </si>
  <si>
    <t>passenger vehicles driven for one year</t>
  </si>
  <si>
    <t>acres of U.S. forest sequestration in one year</t>
  </si>
  <si>
    <t xml:space="preserve">More GHG equivalencies here: </t>
  </si>
  <si>
    <t>https://www.epa.gov/energy/greenhouse-gas-equivalencies-calculator</t>
  </si>
  <si>
    <t>EPA Avoided Emissions Calculator:</t>
  </si>
  <si>
    <t>More on quantifying benefits of efficiency and renewables:</t>
  </si>
  <si>
    <t>https://www.epa.gov/statelocalenergy/quantifying-multiple-benefits-energy-efficiency-and-renewable-energy-guide-state</t>
  </si>
  <si>
    <t>Reference Data</t>
  </si>
  <si>
    <t xml:space="preserve"> </t>
  </si>
  <si>
    <t>Conversion Factors</t>
  </si>
  <si>
    <t>kg/MT</t>
  </si>
  <si>
    <t>MMBtu/therm</t>
  </si>
  <si>
    <t>lb/kg</t>
  </si>
  <si>
    <t>gal/bbl liquid fuel</t>
  </si>
  <si>
    <t>kWh/MWh</t>
  </si>
  <si>
    <t>kBtu/kWh</t>
  </si>
  <si>
    <t>MMBtu/klb steam</t>
  </si>
  <si>
    <t>Source: EPA Energy Star Program</t>
  </si>
  <si>
    <t>Stationary Sources</t>
  </si>
  <si>
    <t>Fuel</t>
  </si>
  <si>
    <r>
      <t>CO</t>
    </r>
    <r>
      <rPr>
        <b/>
        <vertAlign val="subscript"/>
        <sz val="12"/>
        <rFont val="Calibri"/>
        <family val="2"/>
        <scheme val="minor"/>
      </rPr>
      <t>2</t>
    </r>
    <r>
      <rPr>
        <b/>
        <sz val="12"/>
        <rFont val="Calibri"/>
        <family val="2"/>
        <scheme val="minor"/>
      </rPr>
      <t xml:space="preserve"> emission factor </t>
    </r>
  </si>
  <si>
    <t>(kg CO2/mmBtu)</t>
  </si>
  <si>
    <t>(MT CO2/therm)</t>
  </si>
  <si>
    <t>Natural gas (per scf)</t>
  </si>
  <si>
    <t>Source: https://www.eia.gov/environment/emissions/co2_vol_mass.php</t>
  </si>
  <si>
    <t xml:space="preserve">Fuel </t>
  </si>
  <si>
    <t xml:space="preserve">High heat value </t>
  </si>
  <si>
    <t>(mmBtu/gallon)</t>
  </si>
  <si>
    <t>(MT CO2/gallon)</t>
  </si>
  <si>
    <t>Diesel (distillate #2)</t>
  </si>
  <si>
    <t>Propane</t>
  </si>
  <si>
    <t>Fuel oil</t>
  </si>
  <si>
    <t>Gasoline (w/o ethanol)</t>
  </si>
  <si>
    <t>Source: EPA 40 C.F.R Part 98 as adopted in WAC 173-441 https://app.leg.wa.gov/WAC/default.aspx?cite=173-441</t>
  </si>
  <si>
    <t>Electricity</t>
  </si>
  <si>
    <r>
      <t>CO</t>
    </r>
    <r>
      <rPr>
        <b/>
        <vertAlign val="subscript"/>
        <sz val="12"/>
        <color rgb="FF000000"/>
        <rFont val="Calibri"/>
        <family val="2"/>
        <scheme val="minor"/>
      </rPr>
      <t>2</t>
    </r>
    <r>
      <rPr>
        <b/>
        <sz val="12"/>
        <color rgb="FF000000"/>
        <rFont val="Calibri"/>
        <family val="2"/>
        <scheme val="minor"/>
      </rPr>
      <t xml:space="preserve"> emission factor </t>
    </r>
  </si>
  <si>
    <t>(kg CO2/kWh)</t>
  </si>
  <si>
    <t>(MT CO2/kWh)</t>
  </si>
  <si>
    <t>Purchased electricity - WA State Avg Retail Mix 3yr avg</t>
  </si>
  <si>
    <t>Source: CO2 EF based on FMD 3 yr avg WA state electricity consumption. Cell C27 is an average of 2019, 2020 and 2021 statewide average from electricity sold to end users within WA. https://www.commerce.wa.gov/growing-the-economy/energy/fuel-mix-disclosure/</t>
  </si>
  <si>
    <t>Fleets</t>
  </si>
  <si>
    <t xml:space="preserve">Default high heat value </t>
  </si>
  <si>
    <t>(MT CO2/bbl)</t>
  </si>
  <si>
    <t>Gasoline</t>
  </si>
  <si>
    <t>Ethanol (E100)</t>
  </si>
  <si>
    <t xml:space="preserve">Diesel  </t>
  </si>
  <si>
    <t>Biodiesel (B100)</t>
  </si>
  <si>
    <t>Aviation gasoline</t>
  </si>
  <si>
    <t>Jet fuel</t>
  </si>
  <si>
    <t>Source: EPA 40 C.F.R Part 98</t>
  </si>
  <si>
    <t>Global Warming Potentials (100 yr)</t>
  </si>
  <si>
    <r>
      <t>CO</t>
    </r>
    <r>
      <rPr>
        <vertAlign val="subscript"/>
        <sz val="12"/>
        <color rgb="FF000000"/>
        <rFont val="Calibri"/>
        <family val="2"/>
        <scheme val="minor"/>
      </rPr>
      <t>2</t>
    </r>
  </si>
  <si>
    <r>
      <t>CH</t>
    </r>
    <r>
      <rPr>
        <vertAlign val="subscript"/>
        <sz val="12"/>
        <color rgb="FF000000"/>
        <rFont val="Calibri"/>
        <family val="2"/>
        <scheme val="minor"/>
      </rPr>
      <t>4</t>
    </r>
  </si>
  <si>
    <r>
      <t>N</t>
    </r>
    <r>
      <rPr>
        <vertAlign val="subscript"/>
        <sz val="12"/>
        <color rgb="FF000000"/>
        <rFont val="Calibri"/>
        <family val="2"/>
        <scheme val="minor"/>
      </rPr>
      <t>2</t>
    </r>
    <r>
      <rPr>
        <sz val="12"/>
        <color rgb="FF000000"/>
        <rFont val="Calibri"/>
        <family val="2"/>
        <scheme val="minor"/>
      </rPr>
      <t>O</t>
    </r>
  </si>
  <si>
    <t>Source: WAC 173-441</t>
  </si>
  <si>
    <t>Emission Equivalencies</t>
  </si>
  <si>
    <t>Avg US passenger vehicle driven for 1 year</t>
  </si>
  <si>
    <t>MTCO2e</t>
  </si>
  <si>
    <t>https://www.epa.gov/energy/greenhouse-gases-equivalencies-calculator-calculations-and-references#vehicles</t>
  </si>
  <si>
    <t>CO2 captured per acre per year for avg US forest</t>
  </si>
  <si>
    <t>MTCO2</t>
  </si>
  <si>
    <t>https://www.epa.gov/energy/greenhouse-gases-equivalencies-calculator-calculations-and-references#pineforests</t>
  </si>
  <si>
    <t>Electric Utilities</t>
  </si>
  <si>
    <t>2021 All customers Avg retail price ($/kwh)</t>
  </si>
  <si>
    <t>2021 Commercial sector avg retail price ($/kwh)</t>
  </si>
  <si>
    <t>Washington State Average</t>
  </si>
  <si>
    <t>Avista Corp</t>
  </si>
  <si>
    <t>Benton Rural Electric Assn</t>
  </si>
  <si>
    <t>Big Bend Electric Coop, Inc</t>
  </si>
  <si>
    <t>Bonneville Power Administration</t>
  </si>
  <si>
    <t>City of Centralia - (WA)</t>
  </si>
  <si>
    <t>City of Ellensburg - (WA)</t>
  </si>
  <si>
    <t>City of Port Angeles - (WA)</t>
  </si>
  <si>
    <t>City of Richland - (WA)</t>
  </si>
  <si>
    <t>City of Seattle - (WA)</t>
  </si>
  <si>
    <t>City of Tacoma - (WA)</t>
  </si>
  <si>
    <t>Columbia Rural Elec Assn, Inc</t>
  </si>
  <si>
    <t>Elmhurst Mutual Power &amp; Light Co</t>
  </si>
  <si>
    <t>Inland Power &amp; Light Company</t>
  </si>
  <si>
    <t>Kootenai Electric Cooperative</t>
  </si>
  <si>
    <t>Lakeview Light &amp; Power</t>
  </si>
  <si>
    <t>Modern Electric Water Company</t>
  </si>
  <si>
    <t>Northern Lights, Inc</t>
  </si>
  <si>
    <t>Orcas Power &amp; Light Coop</t>
  </si>
  <si>
    <t>PacifiCorp</t>
  </si>
  <si>
    <t>Peninsula Light Company</t>
  </si>
  <si>
    <t>PUD 1 of Snohomish County</t>
  </si>
  <si>
    <t>PUD No 1 of Benton County</t>
  </si>
  <si>
    <t>PUD No 1 of Chelan County</t>
  </si>
  <si>
    <t>PUD No 1 of Clallam County</t>
  </si>
  <si>
    <t>PUD No 1 of Clark County - (WA)</t>
  </si>
  <si>
    <t>PUD No 1 of Cowlitz County</t>
  </si>
  <si>
    <t>PUD No 1 of Douglas County</t>
  </si>
  <si>
    <t>PUD No 1 of Franklin County</t>
  </si>
  <si>
    <t>PUD No 1 of Grays Harbor County</t>
  </si>
  <si>
    <t>PUD No 1 of Jefferson County</t>
  </si>
  <si>
    <t>PUD No 1 of Klickitat County</t>
  </si>
  <si>
    <t>PUD No 1 of Lewis County</t>
  </si>
  <si>
    <t>PUD No 1 of Okanogan County</t>
  </si>
  <si>
    <t>PUD No 1 of Pend Oreille County</t>
  </si>
  <si>
    <t>PUD No 1 of Whatcom County</t>
  </si>
  <si>
    <t>PUD No 2 of Grant County</t>
  </si>
  <si>
    <t>PUD No 2 of Pacific County</t>
  </si>
  <si>
    <t>PUD No 3 of Mason County</t>
  </si>
  <si>
    <t>Puget Sound Energy Inc</t>
  </si>
  <si>
    <t>Sunrun Inc.</t>
  </si>
  <si>
    <t>Tesla Inc.</t>
  </si>
  <si>
    <t>Vera Irrigation District #15</t>
  </si>
  <si>
    <t>BPA CO2e (lbs/MWh)</t>
  </si>
  <si>
    <t>fs-201901-The-carbon-free-footprint-of-BPA-hydropower-supply.PDF</t>
  </si>
  <si>
    <t>lbs. to kg</t>
  </si>
  <si>
    <t>historic emissions in MT CO2e</t>
  </si>
  <si>
    <t>projected emissions in MT CO2e (does not include electricity line losses)</t>
  </si>
  <si>
    <t>Estimated Annual GHG reductions from switching to Electric Vehicles</t>
  </si>
  <si>
    <t>Emissions Reductions Due to Solar</t>
  </si>
  <si>
    <t>Emissions Reductions Due to EV's</t>
  </si>
  <si>
    <r>
      <t>Measure</t>
    </r>
    <r>
      <rPr>
        <sz val="11"/>
        <rFont val="Calibri"/>
        <charset val="1"/>
      </rPr>
      <t> </t>
    </r>
  </si>
  <si>
    <r>
      <t>Cumulative GHG 2025-2030 (MTCO2e)</t>
    </r>
    <r>
      <rPr>
        <sz val="11"/>
        <rFont val="Calibri"/>
        <charset val="1"/>
      </rPr>
      <t> </t>
    </r>
  </si>
  <si>
    <r>
      <t>Cumulative GHG 2025-2050 (MTCO2e)</t>
    </r>
    <r>
      <rPr>
        <sz val="11"/>
        <rFont val="Calibri"/>
        <charset val="1"/>
      </rPr>
      <t> </t>
    </r>
  </si>
  <si>
    <t>Tribal fleet decarb. </t>
  </si>
  <si>
    <t>This set of sheets contains GHG emission reduction calculations that quantify the GHG emission reductions for the Tribal Clean Energy measure. This spreadsheet may show the specific formulas, assumptions, and/or model inputs used to determine the estimated GHG emission reductions. Additional assumptions are listed below and calculations are shown in the following tabs of the same color.</t>
  </si>
  <si>
    <t>GHG reductions are based on the results of past projects of this kind funded and implemented by the Department of Commerce.</t>
  </si>
  <si>
    <t>Past projects funded by Commerce</t>
  </si>
  <si>
    <t>Program</t>
  </si>
  <si>
    <t>Project</t>
  </si>
  <si>
    <t>Solar (kW)</t>
  </si>
  <si>
    <t>Cost</t>
  </si>
  <si>
    <t>Storage (kWh)</t>
  </si>
  <si>
    <t>Solar plus Storage</t>
  </si>
  <si>
    <t>Project 1</t>
  </si>
  <si>
    <t>Project 2</t>
  </si>
  <si>
    <t>Project 3</t>
  </si>
  <si>
    <t>Project 4</t>
  </si>
  <si>
    <t>Average Cost</t>
  </si>
  <si>
    <t>Average kW</t>
  </si>
  <si>
    <t>Load profile from 223.82 kW of solar in the PNW region will displace 1 gWh annually</t>
  </si>
  <si>
    <t>Total Number Projects</t>
  </si>
  <si>
    <t>Total GHG Reductions Annually</t>
  </si>
  <si>
    <t>Assuming project costs and GHG reductions are similar to past projects, a $16 million CPRG grant should be able to fund roughly:</t>
  </si>
  <si>
    <t>Tribal Clean Energy</t>
  </si>
  <si>
    <t>This set of sheets contains GHG emission reduction calculations that quantify the GHG emission reductions for the Decarbonizing Campus Energy Systems, SCC measure. This spreadsheet may show the specific formulas, assumptions, and/or model inputs used to determine the estimated GHG emission reductions. Additional assumptions are listed below and calculations are shown in the following tabs of the same color.</t>
  </si>
  <si>
    <t>Emissions reductions are assumed to begin 6 months into 2026 as project implementation will occur for the first year and a half following funding dispersal.</t>
  </si>
  <si>
    <t>The following tables show the calculated reduction on the Broadway campus of natural gas and steam utility usage offset by an increase in demand for electricity to run the additional heat pumps and back-up electrical resistance boiler. </t>
  </si>
  <si>
    <r>
      <t>Phase One EcoDistrict Utility Savings:</t>
    </r>
    <r>
      <rPr>
        <sz val="12"/>
        <color rgb="FF000000"/>
        <rFont val="Times New Roman"/>
        <family val="1"/>
        <charset val="1"/>
      </rPr>
      <t> </t>
    </r>
  </si>
  <si>
    <t>Energy Source</t>
  </si>
  <si>
    <t>Energy Reduction</t>
  </si>
  <si>
    <t>Units</t>
  </si>
  <si>
    <t>Conversion to kBtu</t>
  </si>
  <si>
    <t>kgCO2e Reduced Annually</t>
  </si>
  <si>
    <t>MT CO2e Reduced Annually</t>
  </si>
  <si>
    <t>Natural Gas (reduction) </t>
  </si>
  <si>
    <t>therm</t>
  </si>
  <si>
    <t>Steam (reduction) </t>
  </si>
  <si>
    <t>kLbs</t>
  </si>
  <si>
    <t>Electricity (increase to power heat pumps) </t>
  </si>
  <si>
    <t>-2,771,238</t>
  </si>
  <si>
    <t>kWh</t>
  </si>
  <si>
    <t>Total Reduction </t>
  </si>
  <si>
    <t>kBtu Conversion Source</t>
  </si>
  <si>
    <t>https://portfoliomanager.energystar.gov/pdf/reference/Thermal%20Conversions.pdf</t>
  </si>
  <si>
    <t>These calculations are based on the following emission factors for each utility: </t>
  </si>
  <si>
    <t>Sources for all of the GHG emission reductions and the CO2 rates by type of energy source were drawn from: </t>
  </si>
  <si>
    <t>Environmental Information Agency (EIA) </t>
  </si>
  <si>
    <t>Environmental Protection Agency (EPA) </t>
  </si>
  <si>
    <t>Energy Star </t>
  </si>
  <si>
    <t>City of Seattle</t>
  </si>
  <si>
    <r>
      <t>Phase Two EcoDistrict Building Usage:</t>
    </r>
    <r>
      <rPr>
        <sz val="12"/>
        <color rgb="FF000000"/>
        <rFont val="Times New Roman"/>
        <family val="1"/>
        <charset val="1"/>
      </rPr>
      <t> </t>
    </r>
  </si>
  <si>
    <t>Unit</t>
  </si>
  <si>
    <t>CPRG Funded Emissions Reduction</t>
  </si>
  <si>
    <t>Total Project Budget</t>
  </si>
  <si>
    <t>CPRG Funds</t>
  </si>
  <si>
    <t xml:space="preserve">Total Emissions Reduced Annually </t>
  </si>
  <si>
    <t>Total Emissions Reduced Annually CPRG Funded</t>
  </si>
  <si>
    <r>
      <t>Measure or Project</t>
    </r>
    <r>
      <rPr>
        <i/>
        <sz val="11"/>
        <rFont val="Calibri"/>
        <charset val="1"/>
      </rPr>
      <t> </t>
    </r>
    <r>
      <rPr>
        <sz val="11"/>
        <rFont val="Calibri"/>
        <charset val="1"/>
      </rPr>
      <t> </t>
    </r>
  </si>
  <si>
    <r>
      <t>Cumulative Reductions 2025-2030 (MTCO</t>
    </r>
    <r>
      <rPr>
        <b/>
        <i/>
        <vertAlign val="subscript"/>
        <sz val="11"/>
        <rFont val="Calibri"/>
        <charset val="1"/>
      </rPr>
      <t>2</t>
    </r>
    <r>
      <rPr>
        <b/>
        <i/>
        <sz val="11"/>
        <rFont val="Calibri"/>
        <charset val="1"/>
      </rPr>
      <t>e)</t>
    </r>
    <r>
      <rPr>
        <i/>
        <sz val="11"/>
        <rFont val="Calibri"/>
        <charset val="1"/>
      </rPr>
      <t> </t>
    </r>
    <r>
      <rPr>
        <sz val="11"/>
        <rFont val="Calibri"/>
        <charset val="1"/>
      </rPr>
      <t> </t>
    </r>
  </si>
  <si>
    <r>
      <t>Cumulative Reductions 2025-2050 (MTCO</t>
    </r>
    <r>
      <rPr>
        <b/>
        <i/>
        <vertAlign val="subscript"/>
        <sz val="11"/>
        <rFont val="Calibri"/>
        <charset val="1"/>
      </rPr>
      <t>2</t>
    </r>
    <r>
      <rPr>
        <b/>
        <i/>
        <sz val="11"/>
        <rFont val="Calibri"/>
        <charset val="1"/>
      </rPr>
      <t>e)</t>
    </r>
    <r>
      <rPr>
        <i/>
        <sz val="11"/>
        <rFont val="Calibri"/>
        <charset val="1"/>
      </rPr>
      <t> </t>
    </r>
    <r>
      <rPr>
        <sz val="11"/>
        <rFont val="Calibri"/>
        <charset val="1"/>
      </rPr>
      <t> </t>
    </r>
  </si>
  <si>
    <r>
      <t> </t>
    </r>
    <r>
      <rPr>
        <sz val="11"/>
        <rFont val="Calibri"/>
        <charset val="1"/>
      </rPr>
      <t> </t>
    </r>
  </si>
  <si>
    <r>
      <t>SCC EcoDistrict</t>
    </r>
    <r>
      <rPr>
        <sz val="11"/>
        <color rgb="FF202124"/>
        <rFont val="Calibri"/>
        <charset val="1"/>
      </rPr>
      <t> </t>
    </r>
  </si>
  <si>
    <t>This set of sheets contains GHG emission reduction calculations that quantify the GHG emission reductions for the Decarbonizing Campus Energy Systems, WWU measure. This spreadsheet may show the specific formulas, assumptions, and/or model inputs used to determine the estimated GHG emission reductions. Additional assumptions are listed below and calculations are shown in the following tabs of the same color.</t>
  </si>
  <si>
    <t>Standard emissions rates are incorporated into the formulas as regional electrical CO2 = 0.00031 Metric Ton/kWh and Natural Gas CO2 as 0.0053 Metric Ton per Therm.</t>
  </si>
  <si>
    <t>Emissions reductions are assumed to begin in 2027 as project implementation will occur for the first two years following funding dispersal.</t>
  </si>
  <si>
    <t>Energy savings from each EEM that drive the GHG reductions:</t>
  </si>
  <si>
    <t xml:space="preserve">Exhaust Air Heat Recovery: </t>
  </si>
  <si>
    <r>
      <t>·</t>
    </r>
    <r>
      <rPr>
        <sz val="7"/>
        <color rgb="FF202124"/>
        <rFont val="Times New Roman"/>
        <charset val="1"/>
      </rPr>
      <t xml:space="preserve">        </t>
    </r>
    <r>
      <rPr>
        <sz val="11"/>
        <color rgb="FF202124"/>
        <rFont val="Calibri"/>
        <family val="2"/>
        <charset val="1"/>
      </rPr>
      <t>Increase in electrical use to run additional pumps = -87,509 kWh</t>
    </r>
  </si>
  <si>
    <r>
      <t>·</t>
    </r>
    <r>
      <rPr>
        <sz val="7"/>
        <color rgb="FF202124"/>
        <rFont val="Times New Roman"/>
        <charset val="1"/>
      </rPr>
      <t xml:space="preserve">        </t>
    </r>
    <r>
      <rPr>
        <sz val="11"/>
        <color rgb="FF202124"/>
        <rFont val="Calibri"/>
        <family val="2"/>
        <charset val="1"/>
      </rPr>
      <t>Natural Gas reduction with 80% efficient central boilers = 96,533/.80 = 120,666 Therms</t>
    </r>
  </si>
  <si>
    <t xml:space="preserve">HVAC Controls Recommissioning &amp; Upgrades: </t>
  </si>
  <si>
    <r>
      <t>·</t>
    </r>
    <r>
      <rPr>
        <sz val="7"/>
        <color rgb="FF202124"/>
        <rFont val="Times New Roman"/>
        <charset val="1"/>
      </rPr>
      <t xml:space="preserve">        </t>
    </r>
    <r>
      <rPr>
        <sz val="11"/>
        <color rgb="FF202124"/>
        <rFont val="Calibri"/>
        <family val="2"/>
        <charset val="1"/>
      </rPr>
      <t>Reduced electrical use due to lowered fan energy = 766,447 kWh</t>
    </r>
  </si>
  <si>
    <r>
      <t>·</t>
    </r>
    <r>
      <rPr>
        <sz val="7"/>
        <color rgb="FF202124"/>
        <rFont val="Times New Roman"/>
        <charset val="1"/>
      </rPr>
      <t xml:space="preserve">        </t>
    </r>
    <r>
      <rPr>
        <sz val="11"/>
        <color rgb="FF202124"/>
        <rFont val="Calibri"/>
        <family val="2"/>
        <charset val="1"/>
      </rPr>
      <t>Natural Gas reduction with 80% efficient central boilers = 66,801/.80 = 83,501 Therms</t>
    </r>
  </si>
  <si>
    <t>Trane’s Model:  For detailed overview of the model see Page 1.1 for A Brief Introduction and 2.1 – Program Overview,</t>
  </si>
  <si>
    <t>https://software.trane.com/CDS/TRACE%20700%20-%20Users%20Manual.pdf</t>
  </si>
  <si>
    <t>Trane’s Model:  Alternate 2 page program summary:</t>
  </si>
  <si>
    <t>https://software.trane.com/RightNow/0128-TRACEProgramDifferences/TRACE700.pdf</t>
  </si>
  <si>
    <t>The GHG conversion factors came from the following locations:</t>
  </si>
  <si>
    <t>From EPA’s Greenhouse Gases Equivalencies Calculator (2023):</t>
  </si>
  <si>
    <r>
      <rPr>
        <sz val="11"/>
        <color rgb="FF242424"/>
        <rFont val="Calibri"/>
      </rPr>
      <t>mmbtu/1 therm × 14.43 kg C/mmbtu × 44 kg CO</t>
    </r>
    <r>
      <rPr>
        <vertAlign val="subscript"/>
        <sz val="11"/>
        <color rgb="FF242424"/>
        <rFont val="Calibri"/>
      </rPr>
      <t>2</t>
    </r>
    <r>
      <rPr>
        <sz val="11"/>
        <color rgb="FF242424"/>
        <rFont val="Calibri"/>
      </rPr>
      <t>/12 kg C × 1 metric ton/1,000 kg = </t>
    </r>
    <r>
      <rPr>
        <b/>
        <sz val="11"/>
        <color rgb="FF242424"/>
        <rFont val="Calibri"/>
      </rPr>
      <t>0.0053</t>
    </r>
    <r>
      <rPr>
        <sz val="11"/>
        <color rgb="FF242424"/>
        <rFont val="Calibri"/>
      </rPr>
      <t> </t>
    </r>
    <r>
      <rPr>
        <b/>
        <sz val="11"/>
        <color rgb="FF242424"/>
        <rFont val="Calibri"/>
      </rPr>
      <t>metric tons CO</t>
    </r>
    <r>
      <rPr>
        <b/>
        <vertAlign val="subscript"/>
        <sz val="11"/>
        <color rgb="FF242424"/>
        <rFont val="Calibri"/>
      </rPr>
      <t>2</t>
    </r>
    <r>
      <rPr>
        <b/>
        <sz val="11"/>
        <color rgb="FF242424"/>
        <rFont val="Calibri"/>
      </rPr>
      <t>/therm</t>
    </r>
    <r>
      <rPr>
        <sz val="11"/>
        <color rgb="FF242424"/>
        <rFont val="Calibri"/>
      </rPr>
      <t>”</t>
    </r>
  </si>
  <si>
    <t>Electricity emissions were based on 2021 EPA eGRID Summary Table for the Northwest subregion (NWPP)’s average CO2 rate: 634.6 lbs CO2e per megawatt hour</t>
  </si>
  <si>
    <r>
      <t>To convert this into metric tons CO2e per kwh: 634.6 lbs x .0004536 metric tons/lb x .001mwh/kwh = </t>
    </r>
    <r>
      <rPr>
        <b/>
        <sz val="11"/>
        <color rgb="FF000000"/>
        <rFont val="Calibri"/>
        <family val="2"/>
        <charset val="1"/>
      </rPr>
      <t>.000310 metric tons CO2 per kWh</t>
    </r>
  </si>
  <si>
    <t>The new HVAC major equipment has a 20-year service life. The controls devices which are digital electronics based have a 15-year service life. Here Commerce assumes funding will be available to replace equipment at the end of its service life, and equipment will be replaced with no interuption in GHG reductions.</t>
  </si>
  <si>
    <t>Building</t>
  </si>
  <si>
    <t>AREA
(GSF)</t>
  </si>
  <si>
    <t>MEASURE</t>
  </si>
  <si>
    <t>ELECTRIC SAVINGS
(KWH)</t>
  </si>
  <si>
    <t>GAS SAVINGS
(THERMS)</t>
  </si>
  <si>
    <t>ENERGY 
COST 
SAVINGS</t>
  </si>
  <si>
    <r>
      <t>CPRG 
ELEC 
CO</t>
    </r>
    <r>
      <rPr>
        <b/>
        <vertAlign val="subscript"/>
        <sz val="11"/>
        <color rgb="FFFFFFFF"/>
        <rFont val="Arial"/>
        <family val="2"/>
      </rPr>
      <t>2</t>
    </r>
  </si>
  <si>
    <t xml:space="preserve">CPRG 
GAS 
CO2 </t>
  </si>
  <si>
    <t>CPRG 
SUM 
CO2</t>
  </si>
  <si>
    <t>CPRG 
CONTRACT
COST</t>
  </si>
  <si>
    <t>CPRG 
PROJECT 
COST</t>
  </si>
  <si>
    <t>Factor</t>
  </si>
  <si>
    <t>Value</t>
  </si>
  <si>
    <t>Chemistry</t>
  </si>
  <si>
    <t>EEM 1.Heat Recovery coil -AH-1,2</t>
  </si>
  <si>
    <t>Electric Rate</t>
  </si>
  <si>
    <t>/kwh</t>
  </si>
  <si>
    <t>Biology</t>
  </si>
  <si>
    <t>EEM 2.AH-2 H/R</t>
  </si>
  <si>
    <t>Gas Cost</t>
  </si>
  <si>
    <t>/therm</t>
  </si>
  <si>
    <t>Carver</t>
  </si>
  <si>
    <t>EEM 2.Occ &amp; CO2 Sensors</t>
  </si>
  <si>
    <r>
      <t>Regional Electric CO</t>
    </r>
    <r>
      <rPr>
        <vertAlign val="subscript"/>
        <sz val="11"/>
        <color theme="1"/>
        <rFont val="Calibri"/>
        <family val="2"/>
        <scheme val="minor"/>
      </rPr>
      <t>2</t>
    </r>
    <r>
      <rPr>
        <sz val="11"/>
        <color theme="1"/>
        <rFont val="Calibri"/>
        <family val="2"/>
        <scheme val="minor"/>
      </rPr>
      <t xml:space="preserve"> Emissions</t>
    </r>
  </si>
  <si>
    <t>Metric Ton/KWH</t>
  </si>
  <si>
    <t>EEM 5.Heat Recovery RCx</t>
  </si>
  <si>
    <r>
      <t>Gas CO</t>
    </r>
    <r>
      <rPr>
        <vertAlign val="subscript"/>
        <sz val="11"/>
        <color theme="1"/>
        <rFont val="Calibri"/>
        <family val="2"/>
        <scheme val="minor"/>
      </rPr>
      <t>2</t>
    </r>
    <r>
      <rPr>
        <sz val="11"/>
        <color theme="1"/>
        <rFont val="Calibri"/>
        <family val="2"/>
        <scheme val="minor"/>
      </rPr>
      <t xml:space="preserve"> Emissions</t>
    </r>
  </si>
  <si>
    <t>Metric Ton/Therm</t>
  </si>
  <si>
    <t>Communications</t>
  </si>
  <si>
    <t>EEM 1.Recommission controls</t>
  </si>
  <si>
    <t>Steam Plant Efficiency</t>
  </si>
  <si>
    <t>ET</t>
  </si>
  <si>
    <t>EEM 5.Retro-commissioning</t>
  </si>
  <si>
    <t>Heat Recovery Indirect Markup</t>
  </si>
  <si>
    <t>Haggard</t>
  </si>
  <si>
    <t>EEM 1.Recommission Controls</t>
  </si>
  <si>
    <t>HVAC Controls Indirect Markup</t>
  </si>
  <si>
    <t>SMATE</t>
  </si>
  <si>
    <t>EEM 1.Retro-commission</t>
  </si>
  <si>
    <t>Bond</t>
  </si>
  <si>
    <t>EEM 1.Occ Sensor Control</t>
  </si>
  <si>
    <t>EEM 4.RCx</t>
  </si>
  <si>
    <t>NOTES:</t>
  </si>
  <si>
    <t>1. Electric and Gas savings in columns D &amp; E come directly from TRANE's Trace 700 simulation model that was used in the 2022 ASHRAE Level II Study</t>
  </si>
  <si>
    <t>2. Electric and Gas CO2 reductions in columns G, H, &amp; I are based on regional conversion factors shown in columns L &amp; M multiplied against the electric and gas savings</t>
  </si>
  <si>
    <t>3. Natural Gas CO2 values are escalated to reflect 80% efficiency of the central steam plant boilers</t>
  </si>
  <si>
    <t>4. Contract Cost in column J is the estimated externally contracted construction cost</t>
  </si>
  <si>
    <t>5. Project Cost in column K includes owner costs, self-performed work, taxes and overhead as a mark-up multiplier as shown in column M to reflect the total cost of the proposed projects</t>
  </si>
  <si>
    <t>GHG Emissions Reduced</t>
  </si>
  <si>
    <t>The table below summarizes the GHG reductions achieved bases on the proposed measures being completed by 2027.</t>
  </si>
  <si>
    <t>Table 1. Estimated GHG Emissions Reductions by Time Horizon</t>
  </si>
  <si>
    <t>GHG Reduction Measure</t>
  </si>
  <si>
    <t>Estimated Annual GHG Emissions Reductions (MTCO2e)</t>
  </si>
  <si>
    <t>Cumulative Reductions 2025-2030 (MTCO2e)</t>
  </si>
  <si>
    <t>Cumulative Reductions 2025-2050 (MTCO2e)</t>
  </si>
  <si>
    <t>Exhaust Heat Recovery</t>
  </si>
  <si>
    <t>HVAC Controls Upgrade</t>
  </si>
  <si>
    <t>Total All Measures</t>
  </si>
  <si>
    <t>This set of sheets contains GHG emission reduction calculations that quantify the GHG emission reductions for the Anaerobic Digesters measure. This spreadsheet may show the specific formulas, assumptions, and/or model inputs used to determine the estimated GHG emission reductions. Additional assumptions are listed below and calculations are shown in the following tabs of the same color.</t>
  </si>
  <si>
    <t>Implementation is expected to take 6 months from the beginning of 2025.</t>
  </si>
  <si>
    <t>Assume that all waste transportation is done via trucking.</t>
  </si>
  <si>
    <t>parameter</t>
  </si>
  <si>
    <t>units</t>
  </si>
  <si>
    <t>value</t>
  </si>
  <si>
    <t>source</t>
  </si>
  <si>
    <t>Waste hauling truck fuel consumption</t>
  </si>
  <si>
    <t>mpg</t>
  </si>
  <si>
    <t>Estimate</t>
  </si>
  <si>
    <t>Diesel emissions rate</t>
  </si>
  <si>
    <t>lbs CO2/gal diesel</t>
  </si>
  <si>
    <t>EPA</t>
  </si>
  <si>
    <t>MSW hauling capacity per truck</t>
  </si>
  <si>
    <t>tons/truck</t>
  </si>
  <si>
    <t>Percent of food waste to MSW</t>
  </si>
  <si>
    <t>pcnt</t>
  </si>
  <si>
    <t>Electricity grid emissions factor</t>
  </si>
  <si>
    <t>lbs CO2e/MWh</t>
  </si>
  <si>
    <t>EPA EGrid</t>
  </si>
  <si>
    <t>Natural gas emissions factor</t>
  </si>
  <si>
    <t>lbs CO2e/MMBtu</t>
  </si>
  <si>
    <t>AD methane leakage</t>
  </si>
  <si>
    <t>Methane density</t>
  </si>
  <si>
    <t>lbs CH4/scf</t>
  </si>
  <si>
    <t>Methane concentration in biogas</t>
  </si>
  <si>
    <t>Methane heating value</t>
  </si>
  <si>
    <t>Btu/scf</t>
  </si>
  <si>
    <t>GWP CH4</t>
  </si>
  <si>
    <t>tCO2/tCH4</t>
  </si>
  <si>
    <t>IPCC</t>
  </si>
  <si>
    <t>Digestate hauling capacity per truck</t>
  </si>
  <si>
    <t>gal/truck</t>
  </si>
  <si>
    <t>Landfill methane emissions</t>
  </si>
  <si>
    <t>gCO2e/MJ</t>
  </si>
  <si>
    <t>WA state GREET Tier 1; 100% to landfill</t>
  </si>
  <si>
    <t>Avoided CO2 from landfill gas recovery</t>
  </si>
  <si>
    <t>tCO2e/ton food waste</t>
  </si>
  <si>
    <t>EPA WARM v15.1</t>
  </si>
  <si>
    <t>Landfill carbon sequestration</t>
  </si>
  <si>
    <t>Turning of compost</t>
  </si>
  <si>
    <t>Fugitive composting emissions</t>
  </si>
  <si>
    <t>Fertilizer offset of compost</t>
  </si>
  <si>
    <t>Soil carbon storage of compost</t>
  </si>
  <si>
    <t>Non-combustion LCA emissions: electricity</t>
  </si>
  <si>
    <t>ARB LCFS; transmission loss of 6.5%. Lookup Tables Pathways - Technical Support Documentation</t>
  </si>
  <si>
    <t>Non-combustion LCA emissions; natural gas</t>
  </si>
  <si>
    <t>ARB LCFS; recovery+processing+transport+compression. Lookup Tables Pathways - Technical Support Documentation</t>
  </si>
  <si>
    <t>Avoided fertilizer application of digestate</t>
  </si>
  <si>
    <t>Soil carbon storage of digestate</t>
  </si>
  <si>
    <t>Conversion</t>
  </si>
  <si>
    <t>Btu/kWh</t>
  </si>
  <si>
    <t>lbs/short ton</t>
  </si>
  <si>
    <t>MJ/MMBtu</t>
  </si>
  <si>
    <t>Pierce</t>
  </si>
  <si>
    <t>Tenino</t>
  </si>
  <si>
    <t>Transfer Station
(AD185)</t>
  </si>
  <si>
    <t>AgPark
(AD500)</t>
  </si>
  <si>
    <t>Organic waste processed</t>
  </si>
  <si>
    <t>tons/year</t>
  </si>
  <si>
    <t>AD electricity consumption rate</t>
  </si>
  <si>
    <t>kWh/ton food waste</t>
  </si>
  <si>
    <t>AD gross biogas energy produced</t>
  </si>
  <si>
    <t>MMBtu/yr</t>
  </si>
  <si>
    <t>MJ/yr</t>
  </si>
  <si>
    <t>scf biogas/yr</t>
  </si>
  <si>
    <t>Electric gen efficiency</t>
  </si>
  <si>
    <t>Thermal efficiency</t>
  </si>
  <si>
    <t>AD electricity generation</t>
  </si>
  <si>
    <t>kWh/yr</t>
  </si>
  <si>
    <t>AD thermal energy generation</t>
  </si>
  <si>
    <t>Digestate production</t>
  </si>
  <si>
    <t>gal/yr</t>
  </si>
  <si>
    <t>Transportation of waste to landfill; one-way distance</t>
  </si>
  <si>
    <t>miles</t>
  </si>
  <si>
    <t>Transportation of waste to compost; one-way distance</t>
  </si>
  <si>
    <t>Percent to landfill</t>
  </si>
  <si>
    <t>Percent to compost</t>
  </si>
  <si>
    <t>Transportation of AD digestation; one-way distance</t>
  </si>
  <si>
    <t>BASELINE EMISSIONS</t>
  </si>
  <si>
    <t>Transportation to landfill</t>
  </si>
  <si>
    <t>Landfill methane</t>
  </si>
  <si>
    <t>Landfil energy recovery emissions</t>
  </si>
  <si>
    <t>TOTAL BASELINE EMISSIONS</t>
  </si>
  <si>
    <t>PROJECT EMISSIONS</t>
  </si>
  <si>
    <t>Process energy (electricity consumption)</t>
  </si>
  <si>
    <t>Process non-energy (methane emissions)</t>
  </si>
  <si>
    <t>Electricity emissions; combustion</t>
  </si>
  <si>
    <t>Natural gas emissions; combustion</t>
  </si>
  <si>
    <t>Electricity emissions; non-combustion</t>
  </si>
  <si>
    <t>Natural gas emissions; non-combustion</t>
  </si>
  <si>
    <t>Fertilizer application w/ digestate</t>
  </si>
  <si>
    <t>Soil carbon storage with digestate</t>
  </si>
  <si>
    <t>Organic waste feedstock transport</t>
  </si>
  <si>
    <t>Digestate transport</t>
  </si>
  <si>
    <t>TOTAL PROJECT EMISSIONS</t>
  </si>
  <si>
    <t>NET EMISSIONS REDUCTIONS</t>
  </si>
  <si>
    <t>tCO2e/year</t>
  </si>
  <si>
    <t>Annual Total</t>
  </si>
  <si>
    <r>
      <t>Anaerobic Digesters</t>
    </r>
    <r>
      <rPr>
        <sz val="11"/>
        <color rgb="FF202124"/>
        <rFont val="Calibri"/>
        <charset val="1"/>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</si>
</sst>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6" formatCode="&quot;$&quot;#,##0_);[Red]\(&quot;$&quot;#,##0\)"/>
    <numFmt numFmtId="8" formatCode="&quot;$&quot;#,##0.00_);[Red]\(&quot;$&quot;#,##0.00\)"/>
    <numFmt numFmtId="44" formatCode="_(&quot;$&quot;* #,##0.00_);_(&quot;$&quot;* \(#,##0.00\);_(&quot;$&quot;* &quot;-&quot;??_);_(@_)"/>
    <numFmt numFmtId="43" formatCode="_(* #,##0.00_);_(* \(#,##0.00\);_(* &quot;-&quot;??_);_(@_)"/>
    <numFmt numFmtId="164" formatCode="#,##0.0"/>
    <numFmt numFmtId="165" formatCode="&quot;$&quot;#,##0"/>
    <numFmt numFmtId="166" formatCode="0.0000"/>
    <numFmt numFmtId="167" formatCode="0.0%"/>
    <numFmt numFmtId="168" formatCode="&quot;$&quot;#,##0.00"/>
    <numFmt numFmtId="169" formatCode="0.0"/>
    <numFmt numFmtId="170" formatCode="_(* #,##0.0_);_(* \(#,##0.0\);_(* &quot;-&quot;??_);_(@_)"/>
    <numFmt numFmtId="171" formatCode="0.00000"/>
    <numFmt numFmtId="172" formatCode="0.00000000"/>
    <numFmt numFmtId="173" formatCode="0.000"/>
    <numFmt numFmtId="174" formatCode="0.000000"/>
    <numFmt numFmtId="175" formatCode="_(* #,##0.000_);_(* \(#,##0.000\);_(* &quot;-&quot;??_);_(@_)"/>
    <numFmt numFmtId="176" formatCode="_(&quot;$&quot;* #,##0.000_);_(&quot;$&quot;* \(#,##0.000\);_(&quot;$&quot;* &quot;-&quot;??_);_(@_)"/>
    <numFmt numFmtId="177" formatCode="#,###.000"/>
  </numFmts>
  <fonts count="111">
    <font>
      <sz val="11"/>
      <color theme="1"/>
      <name val="Calibri"/>
      <family val="2"/>
      <scheme val="minor"/>
    </font>
    <font>
      <b/>
      <sz val="14"/>
      <color theme="1"/>
      <name val="Calibri"/>
      <family val="2"/>
      <scheme val="minor"/>
    </font>
    <font>
      <sz val="14"/>
      <color rgb="FF666666"/>
      <name val="Calibri"/>
      <family val="2"/>
      <charset val="1"/>
    </font>
    <font>
      <b/>
      <sz val="11"/>
      <color rgb="FF000000"/>
      <name val="Calibri"/>
      <scheme val="minor"/>
    </font>
    <font>
      <sz val="11"/>
      <color rgb="FF000000"/>
      <name val="Calibri"/>
      <family val="2"/>
      <charset val="1"/>
    </font>
    <font>
      <b/>
      <sz val="11"/>
      <color theme="1"/>
      <name val="Calibri"/>
      <family val="2"/>
      <scheme val="minor"/>
    </font>
    <font>
      <sz val="11"/>
      <name val="Calibri"/>
      <family val="2"/>
      <scheme val="minor"/>
    </font>
    <font>
      <b/>
      <sz val="11"/>
      <color rgb="FF000000"/>
      <name val="Calibri"/>
      <family val="2"/>
      <scheme val="minor"/>
    </font>
    <font>
      <b/>
      <sz val="11"/>
      <name val="Calibri"/>
      <family val="2"/>
      <scheme val="minor"/>
    </font>
    <font>
      <sz val="11"/>
      <name val="Calibri"/>
      <charset val="1"/>
    </font>
    <font>
      <b/>
      <sz val="11"/>
      <name val="Calibri"/>
      <charset val="1"/>
    </font>
    <font>
      <sz val="11"/>
      <color theme="1"/>
      <name val="Calibri"/>
      <family val="2"/>
      <scheme val="minor"/>
    </font>
    <font>
      <u/>
      <sz val="11"/>
      <color theme="10"/>
      <name val="Calibri"/>
      <family val="2"/>
      <scheme val="minor"/>
    </font>
    <font>
      <b/>
      <sz val="14"/>
      <color rgb="FF000000"/>
      <name val="Calibri"/>
      <family val="2"/>
    </font>
    <font>
      <sz val="11"/>
      <color rgb="FF000000"/>
      <name val="Calibri"/>
      <family val="2"/>
    </font>
    <font>
      <b/>
      <sz val="11"/>
      <color rgb="FF000000"/>
      <name val="Calibri"/>
      <family val="2"/>
    </font>
    <font>
      <i/>
      <sz val="11"/>
      <color rgb="FF000000"/>
      <name val="Calibri"/>
      <family val="2"/>
    </font>
    <font>
      <b/>
      <sz val="11"/>
      <color rgb="FF0070C0"/>
      <name val="Calibri"/>
      <family val="2"/>
    </font>
    <font>
      <b/>
      <sz val="11"/>
      <color rgb="FFFF0000"/>
      <name val="Calibri"/>
      <family val="2"/>
    </font>
    <font>
      <b/>
      <sz val="11"/>
      <color rgb="FF808080"/>
      <name val="Calibri"/>
      <family val="2"/>
    </font>
    <font>
      <b/>
      <sz val="11"/>
      <name val="Calibri"/>
      <family val="2"/>
    </font>
    <font>
      <sz val="11"/>
      <name val="Calibri"/>
      <family val="2"/>
    </font>
    <font>
      <sz val="11"/>
      <color rgb="FFFF0000"/>
      <name val="Calibri"/>
      <family val="2"/>
    </font>
    <font>
      <sz val="11"/>
      <color rgb="FF808080"/>
      <name val="Calibri"/>
      <family val="2"/>
    </font>
    <font>
      <sz val="11"/>
      <color rgb="FF0070C0"/>
      <name val="Calibri"/>
      <family val="2"/>
    </font>
    <font>
      <b/>
      <sz val="11"/>
      <color rgb="FFFF0000"/>
      <name val="Wingdings"/>
      <charset val="2"/>
    </font>
    <font>
      <sz val="11"/>
      <color rgb="FFFF0000"/>
      <name val="Wingdings"/>
      <charset val="2"/>
    </font>
    <font>
      <sz val="14"/>
      <color rgb="FF000000"/>
      <name val="Calibri"/>
      <family val="2"/>
    </font>
    <font>
      <b/>
      <u/>
      <sz val="11"/>
      <color rgb="FF000000"/>
      <name val="Calibri"/>
      <family val="2"/>
    </font>
    <font>
      <sz val="11"/>
      <color rgb="FF000000"/>
      <name val="Calibri"/>
      <charset val="1"/>
    </font>
    <font>
      <vertAlign val="superscript"/>
      <sz val="6.6"/>
      <color rgb="FF000000"/>
      <name val="Calibri"/>
      <family val="2"/>
      <charset val="1"/>
    </font>
    <font>
      <b/>
      <u/>
      <sz val="11"/>
      <color rgb="FF000000"/>
      <name val="Calibri"/>
      <family val="2"/>
      <charset val="1"/>
    </font>
    <font>
      <u/>
      <sz val="11"/>
      <color rgb="FF000000"/>
      <name val="Calibri"/>
      <family val="2"/>
      <charset val="1"/>
    </font>
    <font>
      <i/>
      <sz val="11"/>
      <color rgb="FF000000"/>
      <name val="Calibri"/>
      <family val="2"/>
      <charset val="1"/>
    </font>
    <font>
      <sz val="11"/>
      <color rgb="FF000000"/>
      <name val="Arial"/>
      <family val="2"/>
      <charset val="1"/>
    </font>
    <font>
      <b/>
      <sz val="11"/>
      <color rgb="FF000000"/>
      <name val="Arial"/>
      <family val="2"/>
      <charset val="1"/>
    </font>
    <font>
      <sz val="10"/>
      <color rgb="FF000000"/>
      <name val="Arial"/>
      <family val="2"/>
      <charset val="1"/>
    </font>
    <font>
      <b/>
      <sz val="10"/>
      <color rgb="FF000000"/>
      <name val="Arial"/>
      <family val="2"/>
      <charset val="1"/>
    </font>
    <font>
      <b/>
      <sz val="11"/>
      <color theme="1"/>
      <name val="Calibri"/>
      <family val="2"/>
      <scheme val="minor"/>
    </font>
    <font>
      <b/>
      <sz val="10"/>
      <name val="Arial"/>
      <family val="2"/>
    </font>
    <font>
      <sz val="11"/>
      <color theme="1"/>
      <name val="Calibri"/>
      <family val="2"/>
      <scheme val="minor"/>
    </font>
    <font>
      <sz val="11"/>
      <color rgb="FF000000"/>
      <name val="Calibri"/>
    </font>
    <font>
      <b/>
      <sz val="11"/>
      <color rgb="FF000000"/>
      <name val="Calibri"/>
    </font>
    <font>
      <b/>
      <i/>
      <sz val="11"/>
      <color rgb="FF000000"/>
      <name val="Calibri"/>
      <family val="2"/>
      <charset val="1"/>
    </font>
    <font>
      <b/>
      <i/>
      <vertAlign val="subscript"/>
      <sz val="8.35"/>
      <color rgb="FF000000"/>
      <name val="Calibri"/>
      <family val="2"/>
      <charset val="1"/>
    </font>
    <font>
      <i/>
      <sz val="11"/>
      <color rgb="FF202124"/>
      <name val="Calibri"/>
      <family val="2"/>
      <charset val="1"/>
    </font>
    <font>
      <sz val="11"/>
      <color rgb="FF202124"/>
      <name val="Calibri"/>
      <charset val="1"/>
    </font>
    <font>
      <sz val="12"/>
      <color rgb="FF000000"/>
      <name val="Times New Roman"/>
      <charset val="1"/>
    </font>
    <font>
      <sz val="11"/>
      <color rgb="FF000000"/>
      <name val="Calibri"/>
      <family val="2"/>
      <scheme val="minor"/>
    </font>
    <font>
      <b/>
      <sz val="12"/>
      <color rgb="FF000000"/>
      <name val="Times New Roman"/>
      <family val="1"/>
      <charset val="1"/>
    </font>
    <font>
      <sz val="12"/>
      <color rgb="FF000000"/>
      <name val="Times New Roman"/>
      <family val="1"/>
      <charset val="1"/>
    </font>
    <font>
      <b/>
      <sz val="11"/>
      <color rgb="FFFFFFFF"/>
      <name val="Arial"/>
      <family val="2"/>
    </font>
    <font>
      <b/>
      <vertAlign val="subscript"/>
      <sz val="11"/>
      <color rgb="FFFFFFFF"/>
      <name val="Arial"/>
      <family val="2"/>
    </font>
    <font>
      <sz val="10"/>
      <name val="Arial"/>
      <family val="2"/>
    </font>
    <font>
      <sz val="11"/>
      <color rgb="FF202124"/>
      <name val="Calibri"/>
      <family val="2"/>
      <charset val="1"/>
    </font>
    <font>
      <sz val="7"/>
      <color rgb="FF202124"/>
      <name val="Times New Roman"/>
      <charset val="1"/>
    </font>
    <font>
      <sz val="11"/>
      <color rgb="FF202124"/>
      <name val="Symbol"/>
      <charset val="1"/>
    </font>
    <font>
      <b/>
      <sz val="11"/>
      <color rgb="FF202124"/>
      <name val="Calibri"/>
      <family val="2"/>
      <charset val="1"/>
    </font>
    <font>
      <sz val="11"/>
      <color rgb="FF666666"/>
      <name val="Calibri"/>
      <family val="2"/>
      <charset val="1"/>
    </font>
    <font>
      <b/>
      <sz val="11"/>
      <color theme="1"/>
      <name val="Calibri"/>
      <family val="2"/>
      <charset val="1"/>
    </font>
    <font>
      <b/>
      <i/>
      <sz val="11"/>
      <color rgb="FF202124"/>
      <name val="Calibri"/>
      <family val="2"/>
      <charset val="1"/>
    </font>
    <font>
      <b/>
      <sz val="22"/>
      <color rgb="FF000000"/>
      <name val="Calibri"/>
      <family val="2"/>
    </font>
    <font>
      <u/>
      <sz val="11"/>
      <color rgb="FF0563C1"/>
      <name val="Calibri"/>
      <family val="2"/>
    </font>
    <font>
      <b/>
      <sz val="20"/>
      <color rgb="FF000000"/>
      <name val="Calibri"/>
      <family val="2"/>
    </font>
    <font>
      <b/>
      <sz val="18"/>
      <color rgb="FF000000"/>
      <name val="Calibri"/>
      <family val="2"/>
    </font>
    <font>
      <i/>
      <sz val="11"/>
      <name val="Calibri"/>
      <charset val="1"/>
    </font>
    <font>
      <b/>
      <i/>
      <sz val="11"/>
      <name val="Calibri"/>
      <charset val="1"/>
    </font>
    <font>
      <b/>
      <i/>
      <vertAlign val="subscript"/>
      <sz val="11"/>
      <name val="Calibri"/>
      <charset val="1"/>
    </font>
    <font>
      <b/>
      <i/>
      <sz val="11"/>
      <color rgb="FF202124"/>
      <name val="Calibri"/>
      <charset val="1"/>
    </font>
    <font>
      <i/>
      <sz val="11"/>
      <color rgb="FF202124"/>
      <name val="Calibri"/>
      <charset val="1"/>
    </font>
    <font>
      <sz val="10"/>
      <color theme="1"/>
      <name val="Arial"/>
      <charset val="1"/>
    </font>
    <font>
      <b/>
      <sz val="10"/>
      <color rgb="FF0000FF"/>
      <name val="Arial"/>
      <charset val="1"/>
    </font>
    <font>
      <b/>
      <sz val="10"/>
      <color theme="1"/>
      <name val="Arial"/>
      <charset val="1"/>
    </font>
    <font>
      <sz val="10"/>
      <color rgb="FF0000FF"/>
      <name val="Arial"/>
      <charset val="1"/>
    </font>
    <font>
      <sz val="10"/>
      <color rgb="FF202124"/>
      <name val="Arial"/>
      <charset val="1"/>
    </font>
    <font>
      <b/>
      <sz val="12"/>
      <color rgb="FF000000"/>
      <name val="Times New Roman"/>
      <family val="1"/>
    </font>
    <font>
      <b/>
      <sz val="11"/>
      <color rgb="FF000000"/>
      <name val="Times New Roman"/>
      <family val="1"/>
    </font>
    <font>
      <sz val="11"/>
      <color theme="1"/>
      <name val="Times New Roman"/>
      <family val="1"/>
    </font>
    <font>
      <sz val="11"/>
      <color rgb="FF000000"/>
      <name val="Times New Roman"/>
      <family val="1"/>
    </font>
    <font>
      <b/>
      <sz val="11"/>
      <color theme="1"/>
      <name val="Times New Roman"/>
      <family val="1"/>
    </font>
    <font>
      <b/>
      <sz val="11"/>
      <color theme="0"/>
      <name val="Calibri"/>
      <family val="2"/>
      <scheme val="minor"/>
    </font>
    <font>
      <b/>
      <sz val="11"/>
      <color theme="1"/>
      <name val="Calibri"/>
      <family val="2"/>
      <scheme val="minor"/>
    </font>
    <font>
      <sz val="11"/>
      <color rgb="FF242424"/>
      <name val="Calibri"/>
      <family val="2"/>
      <charset val="1"/>
    </font>
    <font>
      <sz val="11"/>
      <color rgb="FF242424"/>
      <name val="Aptos"/>
      <family val="2"/>
      <charset val="1"/>
    </font>
    <font>
      <b/>
      <sz val="11"/>
      <color rgb="FF000000"/>
      <name val="Calibri"/>
      <family val="2"/>
      <charset val="1"/>
    </font>
    <font>
      <sz val="11"/>
      <color rgb="FF242424"/>
      <name val="Calibri"/>
    </font>
    <font>
      <vertAlign val="subscript"/>
      <sz val="11"/>
      <color rgb="FF242424"/>
      <name val="Calibri"/>
    </font>
    <font>
      <b/>
      <sz val="11"/>
      <color rgb="FF242424"/>
      <name val="Calibri"/>
    </font>
    <font>
      <b/>
      <vertAlign val="subscript"/>
      <sz val="11"/>
      <color rgb="FF242424"/>
      <name val="Calibri"/>
    </font>
    <font>
      <b/>
      <sz val="18"/>
      <name val="Calibri"/>
      <family val="2"/>
      <scheme val="minor"/>
    </font>
    <font>
      <b/>
      <sz val="12"/>
      <name val="Calibri"/>
      <family val="2"/>
      <scheme val="minor"/>
    </font>
    <font>
      <sz val="12"/>
      <color rgb="FF000000"/>
      <name val="Calibri"/>
      <family val="2"/>
      <scheme val="minor"/>
    </font>
    <font>
      <b/>
      <sz val="11"/>
      <color rgb="FFFF0000"/>
      <name val="Calibri"/>
      <family val="2"/>
      <scheme val="minor"/>
    </font>
    <font>
      <u/>
      <sz val="11"/>
      <color theme="10"/>
      <name val="Calibri"/>
      <family val="2"/>
    </font>
    <font>
      <b/>
      <sz val="16"/>
      <color theme="1"/>
      <name val="Calibri"/>
      <family val="2"/>
      <scheme val="minor"/>
    </font>
    <font>
      <sz val="11"/>
      <color theme="5" tint="-0.249977111117893"/>
      <name val="Calibri"/>
      <family val="2"/>
      <scheme val="minor"/>
    </font>
    <font>
      <b/>
      <sz val="16"/>
      <color rgb="FF000000"/>
      <name val="Calibri"/>
      <family val="2"/>
      <scheme val="minor"/>
    </font>
    <font>
      <b/>
      <sz val="12"/>
      <color rgb="FF000000"/>
      <name val="Calibri"/>
      <family val="2"/>
      <scheme val="minor"/>
    </font>
    <font>
      <b/>
      <sz val="14"/>
      <color rgb="FF000000"/>
      <name val="Calibri"/>
      <family val="2"/>
      <scheme val="minor"/>
    </font>
    <font>
      <sz val="12"/>
      <color rgb="FFFF0000"/>
      <name val="Calibri"/>
      <family val="2"/>
      <scheme val="minor"/>
    </font>
    <font>
      <b/>
      <vertAlign val="subscript"/>
      <sz val="12"/>
      <name val="Calibri"/>
      <family val="2"/>
      <scheme val="minor"/>
    </font>
    <font>
      <sz val="12"/>
      <name val="Calibri"/>
      <family val="2"/>
      <scheme val="minor"/>
    </font>
    <font>
      <sz val="9"/>
      <color rgb="FF000000"/>
      <name val="Calibri"/>
      <family val="2"/>
      <scheme val="minor"/>
    </font>
    <font>
      <b/>
      <vertAlign val="subscript"/>
      <sz val="12"/>
      <color rgb="FF000000"/>
      <name val="Calibri"/>
      <family val="2"/>
      <scheme val="minor"/>
    </font>
    <font>
      <sz val="9"/>
      <name val="Calibri"/>
      <family val="2"/>
      <scheme val="minor"/>
    </font>
    <font>
      <vertAlign val="subscript"/>
      <sz val="12"/>
      <color rgb="FF000000"/>
      <name val="Calibri"/>
      <family val="2"/>
      <scheme val="minor"/>
    </font>
    <font>
      <sz val="10"/>
      <color rgb="FF000000"/>
      <name val="Arial"/>
      <family val="2"/>
    </font>
    <font>
      <i/>
      <sz val="11"/>
      <color rgb="FF000000"/>
      <name val="Calibri"/>
      <scheme val="minor"/>
    </font>
    <font>
      <b/>
      <i/>
      <sz val="11"/>
      <color theme="1"/>
      <name val="Calibri"/>
      <family val="2"/>
      <scheme val="minor"/>
    </font>
    <font>
      <b/>
      <sz val="11"/>
      <color theme="0"/>
      <name val="Calibri"/>
      <family val="2"/>
      <scheme val="minor"/>
    </font>
    <font>
      <vertAlign val="subscript"/>
      <sz val="11"/>
      <color theme="1"/>
      <name val="Calibri"/>
      <family val="2"/>
      <scheme val="minor"/>
    </font>
  </fonts>
  <fills count="42">
    <fill>
      <patternFill patternType="none"/>
    </fill>
    <fill>
      <patternFill patternType="gray125"/>
    </fill>
    <fill>
      <patternFill patternType="solid">
        <fgColor theme="8" tint="0.39997558519241921"/>
        <bgColor indexed="64"/>
      </patternFill>
    </fill>
    <fill>
      <patternFill patternType="solid">
        <fgColor theme="9" tint="-0.249977111117893"/>
        <bgColor indexed="64"/>
      </patternFill>
    </fill>
    <fill>
      <patternFill patternType="solid">
        <fgColor theme="0"/>
        <bgColor indexed="64"/>
      </patternFill>
    </fill>
    <fill>
      <patternFill patternType="solid">
        <fgColor theme="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F2F2F2"/>
        <bgColor indexed="64"/>
      </patternFill>
    </fill>
    <fill>
      <patternFill patternType="solid">
        <fgColor rgb="FFC6D9F1"/>
        <bgColor indexed="64"/>
      </patternFill>
    </fill>
    <fill>
      <patternFill patternType="solid">
        <fgColor rgb="FFBDD7EE"/>
        <bgColor rgb="FF000000"/>
      </patternFill>
    </fill>
    <fill>
      <patternFill patternType="solid">
        <fgColor rgb="FFE2EFDA"/>
        <bgColor rgb="FF000000"/>
      </patternFill>
    </fill>
    <fill>
      <patternFill patternType="solid">
        <fgColor rgb="FFFFFF00"/>
        <bgColor rgb="FF000000"/>
      </patternFill>
    </fill>
    <fill>
      <patternFill patternType="solid">
        <fgColor rgb="FFFFE699"/>
        <bgColor rgb="FF000000"/>
      </patternFill>
    </fill>
    <fill>
      <patternFill patternType="solid">
        <fgColor rgb="FFFFFFFF"/>
        <bgColor rgb="FF000000"/>
      </patternFill>
    </fill>
    <fill>
      <patternFill patternType="solid">
        <fgColor rgb="FFD9D9D9"/>
        <bgColor rgb="FF000000"/>
      </patternFill>
    </fill>
    <fill>
      <patternFill patternType="solid">
        <fgColor theme="5" tint="0.79998168889431442"/>
        <bgColor indexed="64"/>
      </patternFill>
    </fill>
    <fill>
      <patternFill patternType="solid">
        <fgColor rgb="FFC88DF2"/>
        <bgColor indexed="64"/>
      </patternFill>
    </fill>
    <fill>
      <patternFill patternType="solid">
        <fgColor rgb="FFFFFFFF"/>
        <bgColor indexed="64"/>
      </patternFill>
    </fill>
    <fill>
      <patternFill patternType="solid">
        <fgColor theme="3" tint="0.89999084444715716"/>
        <bgColor indexed="64"/>
      </patternFill>
    </fill>
    <fill>
      <patternFill patternType="solid">
        <fgColor rgb="FFD9E2F3"/>
        <bgColor indexed="64"/>
      </patternFill>
    </fill>
    <fill>
      <patternFill patternType="solid">
        <fgColor theme="5" tint="0.39997558519241921"/>
        <bgColor indexed="64"/>
      </patternFill>
    </fill>
    <fill>
      <patternFill patternType="solid">
        <fgColor rgb="FFD9E2F3"/>
        <bgColor rgb="FF000000"/>
      </patternFill>
    </fill>
    <fill>
      <patternFill patternType="solid">
        <fgColor rgb="FFF3F3F3"/>
        <bgColor indexed="64"/>
      </patternFill>
    </fill>
    <fill>
      <patternFill patternType="solid">
        <fgColor rgb="FFF4CCCC"/>
        <bgColor indexed="64"/>
      </patternFill>
    </fill>
    <fill>
      <patternFill patternType="solid">
        <fgColor rgb="FFC9DAF8"/>
        <bgColor indexed="64"/>
      </patternFill>
    </fill>
    <fill>
      <patternFill patternType="solid">
        <fgColor theme="5"/>
        <bgColor theme="5"/>
      </patternFill>
    </fill>
    <fill>
      <patternFill patternType="solid">
        <fgColor rgb="FF92D050"/>
        <bgColor indexed="64"/>
      </patternFill>
    </fill>
    <fill>
      <patternFill patternType="solid">
        <fgColor theme="5" tint="0.59999389629810485"/>
        <bgColor theme="5" tint="0.59999389629810485"/>
      </patternFill>
    </fill>
    <fill>
      <patternFill patternType="solid">
        <fgColor theme="5" tint="0.39997558519241921"/>
        <bgColor rgb="FF000000"/>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5" tint="0.79998168889431442"/>
        <bgColor rgb="FF000000"/>
      </patternFill>
    </fill>
    <fill>
      <patternFill patternType="solid">
        <fgColor theme="0" tint="-4.9989318521683403E-2"/>
        <bgColor rgb="FF000000"/>
      </patternFill>
    </fill>
    <fill>
      <patternFill patternType="solid">
        <fgColor theme="9" tint="0.59999389629810485"/>
        <bgColor indexed="64"/>
      </patternFill>
    </fill>
    <fill>
      <patternFill patternType="solid">
        <fgColor theme="4" tint="0.79998168889431442"/>
        <bgColor rgb="FF000000"/>
      </patternFill>
    </fill>
  </fills>
  <borders count="91">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rgb="FFFF0000"/>
      </left>
      <right style="thin">
        <color rgb="FFFF0000"/>
      </right>
      <top style="thin">
        <color rgb="FFFF0000"/>
      </top>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auto="1"/>
      </left>
      <right style="thin">
        <color rgb="FF000000"/>
      </right>
      <top style="thin">
        <color rgb="FF000000"/>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medium">
        <color rgb="FF000000"/>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B8CCE4"/>
      </left>
      <right style="thin">
        <color rgb="FFB8CCE4"/>
      </right>
      <top style="thin">
        <color rgb="FFB8CCE4"/>
      </top>
      <bottom style="thick">
        <color rgb="FF95B3D7"/>
      </bottom>
      <diagonal/>
    </border>
    <border>
      <left style="thin">
        <color rgb="FFB8CCE4"/>
      </left>
      <right style="thin">
        <color rgb="FFB8CCE4"/>
      </right>
      <top style="thin">
        <color rgb="FFB8CCE4"/>
      </top>
      <bottom/>
      <diagonal/>
    </border>
    <border>
      <left style="thin">
        <color rgb="FFB8CCE4"/>
      </left>
      <right style="thin">
        <color rgb="FFB8CCE4"/>
      </right>
      <top/>
      <bottom style="thin">
        <color rgb="FFB8CCE4"/>
      </bottom>
      <diagonal/>
    </border>
    <border>
      <left style="thin">
        <color rgb="FFB8CCE4"/>
      </left>
      <right style="thin">
        <color rgb="FFB8CCE4"/>
      </right>
      <top style="double">
        <color rgb="FF95B3D7"/>
      </top>
      <bottom style="thin">
        <color rgb="FFB8CCE4"/>
      </bottom>
      <diagonal/>
    </border>
    <border>
      <left style="thin">
        <color rgb="FF000000"/>
      </left>
      <right style="thin">
        <color rgb="FFCCCCCC"/>
      </right>
      <top style="thin">
        <color rgb="FF000000"/>
      </top>
      <bottom style="thin">
        <color rgb="FFCCCCCC"/>
      </bottom>
      <diagonal/>
    </border>
    <border>
      <left style="thin">
        <color rgb="FFCCCCCC"/>
      </left>
      <right style="thin">
        <color rgb="FFCCCCCC"/>
      </right>
      <top style="thin">
        <color rgb="FF000000"/>
      </top>
      <bottom style="thin">
        <color rgb="FFCCCCCC"/>
      </bottom>
      <diagonal/>
    </border>
    <border>
      <left style="thin">
        <color rgb="FFCCCCCC"/>
      </left>
      <right style="thin">
        <color rgb="FF000000"/>
      </right>
      <top style="thin">
        <color rgb="FF000000"/>
      </top>
      <bottom style="thin">
        <color rgb="FFCCCCCC"/>
      </bottom>
      <diagonal/>
    </border>
    <border>
      <left style="thin">
        <color rgb="FF000000"/>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style="thin">
        <color rgb="FF000000"/>
      </left>
      <right style="thin">
        <color rgb="FFCCCCCC"/>
      </right>
      <top style="thin">
        <color rgb="FFCCCCCC"/>
      </top>
      <bottom style="thin">
        <color rgb="FF000000"/>
      </bottom>
      <diagonal/>
    </border>
    <border>
      <left style="thin">
        <color rgb="FFCCCCCC"/>
      </left>
      <right style="thin">
        <color rgb="FFCCCCCC"/>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theme="0"/>
      </left>
      <right/>
      <top/>
      <bottom/>
      <diagonal/>
    </border>
    <border>
      <left style="thin">
        <color theme="0"/>
      </left>
      <right/>
      <top style="thick">
        <color theme="0"/>
      </top>
      <bottom/>
      <diagonal/>
    </border>
    <border>
      <left/>
      <right style="thin">
        <color rgb="FF7F7F7F"/>
      </right>
      <top style="thick">
        <color theme="0"/>
      </top>
      <bottom/>
      <diagonal/>
    </border>
    <border>
      <left style="thin">
        <color rgb="FF7F7F7F"/>
      </left>
      <right/>
      <top style="thick">
        <color theme="0"/>
      </top>
      <bottom/>
      <diagonal/>
    </border>
    <border>
      <left style="thin">
        <color theme="0"/>
      </left>
      <right/>
      <top style="thin">
        <color theme="0"/>
      </top>
      <bottom/>
      <diagonal/>
    </border>
    <border>
      <left/>
      <right style="thin">
        <color rgb="FF7F7F7F"/>
      </right>
      <top style="thin">
        <color theme="0"/>
      </top>
      <bottom/>
      <diagonal/>
    </border>
    <border>
      <left style="thin">
        <color rgb="FF7F7F7F"/>
      </left>
      <right style="thin">
        <color rgb="FF7F7F7F"/>
      </right>
      <top style="thin">
        <color theme="0"/>
      </top>
      <bottom/>
      <diagonal/>
    </border>
    <border>
      <left style="thin">
        <color rgb="FF7F7F7F"/>
      </left>
      <right/>
      <top style="thin">
        <color theme="0"/>
      </top>
      <bottom/>
      <diagonal/>
    </border>
    <border>
      <left/>
      <right/>
      <top style="thick">
        <color theme="0"/>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9" fontId="11" fillId="0" borderId="0" applyFont="0" applyFill="0" applyBorder="0" applyAlignment="0" applyProtection="0"/>
    <xf numFmtId="0" fontId="12" fillId="0" borderId="0" applyNumberFormat="0" applyFill="0" applyBorder="0" applyAlignment="0" applyProtection="0"/>
    <xf numFmtId="44" fontId="11" fillId="0" borderId="0" applyFont="0" applyFill="0" applyBorder="0" applyAlignment="0" applyProtection="0"/>
    <xf numFmtId="43" fontId="11" fillId="0" borderId="0" applyFont="0" applyFill="0" applyBorder="0" applyAlignment="0" applyProtection="0"/>
    <xf numFmtId="0" fontId="93" fillId="0" borderId="0" applyNumberFormat="0" applyFill="0" applyBorder="0" applyAlignment="0" applyProtection="0">
      <alignment vertical="top"/>
      <protection locked="0"/>
    </xf>
    <xf numFmtId="0" fontId="106" fillId="0" borderId="0"/>
  </cellStyleXfs>
  <cellXfs count="586">
    <xf numFmtId="0" fontId="0" fillId="0" borderId="0" xfId="0"/>
    <xf numFmtId="0" fontId="1" fillId="2" borderId="1" xfId="0" applyFont="1" applyFill="1" applyBorder="1"/>
    <xf numFmtId="0" fontId="2" fillId="0" borderId="2" xfId="0" applyFont="1" applyBorder="1" applyAlignment="1">
      <alignment wrapText="1"/>
    </xf>
    <xf numFmtId="0" fontId="0" fillId="4" borderId="0" xfId="0" applyFill="1"/>
    <xf numFmtId="0" fontId="4" fillId="0" borderId="0" xfId="0" applyFont="1" applyAlignment="1">
      <alignment wrapText="1"/>
    </xf>
    <xf numFmtId="0" fontId="5" fillId="2" borderId="0" xfId="0" applyFont="1" applyFill="1" applyAlignment="1">
      <alignment wrapText="1"/>
    </xf>
    <xf numFmtId="0" fontId="3" fillId="2" borderId="0" xfId="0" applyFont="1" applyFill="1" applyAlignment="1">
      <alignment wrapText="1"/>
    </xf>
    <xf numFmtId="0" fontId="0" fillId="0" borderId="0" xfId="0" applyAlignment="1">
      <alignment wrapText="1"/>
    </xf>
    <xf numFmtId="0" fontId="5" fillId="0" borderId="3" xfId="0" applyFont="1" applyBorder="1"/>
    <xf numFmtId="0" fontId="5" fillId="0" borderId="3" xfId="0" applyFont="1" applyBorder="1" applyAlignment="1">
      <alignment horizontal="center" vertical="top"/>
    </xf>
    <xf numFmtId="0" fontId="5" fillId="5" borderId="3" xfId="0" applyFont="1" applyFill="1" applyBorder="1" applyAlignment="1">
      <alignment horizontal="center"/>
    </xf>
    <xf numFmtId="0" fontId="5" fillId="5" borderId="3" xfId="0" applyFont="1" applyFill="1" applyBorder="1"/>
    <xf numFmtId="0" fontId="0" fillId="0" borderId="3" xfId="0" applyBorder="1"/>
    <xf numFmtId="0" fontId="0" fillId="0" borderId="3" xfId="0" applyBorder="1" applyAlignment="1">
      <alignment horizontal="center" vertical="top"/>
    </xf>
    <xf numFmtId="3" fontId="0" fillId="0" borderId="3" xfId="0" applyNumberFormat="1" applyBorder="1" applyAlignment="1">
      <alignment horizontal="center" vertical="top"/>
    </xf>
    <xf numFmtId="0" fontId="0" fillId="0" borderId="3" xfId="0" applyBorder="1" applyAlignment="1">
      <alignment vertical="top"/>
    </xf>
    <xf numFmtId="0" fontId="0" fillId="0" borderId="3" xfId="0" applyBorder="1" applyAlignment="1">
      <alignment horizontal="center"/>
    </xf>
    <xf numFmtId="0" fontId="0" fillId="6" borderId="3" xfId="0" applyFill="1" applyBorder="1" applyAlignment="1">
      <alignment horizontal="center"/>
    </xf>
    <xf numFmtId="0" fontId="5" fillId="4" borderId="3" xfId="0" applyFont="1" applyFill="1" applyBorder="1"/>
    <xf numFmtId="0" fontId="5" fillId="0" borderId="3" xfId="0" applyFont="1" applyBorder="1" applyAlignment="1">
      <alignment horizontal="center"/>
    </xf>
    <xf numFmtId="0" fontId="0" fillId="4" borderId="3" xfId="0" applyFill="1" applyBorder="1"/>
    <xf numFmtId="0" fontId="0" fillId="4" borderId="3" xfId="0" applyFill="1" applyBorder="1" applyAlignment="1">
      <alignment horizontal="center"/>
    </xf>
    <xf numFmtId="0" fontId="6" fillId="8" borderId="3" xfId="0" applyFont="1" applyFill="1" applyBorder="1"/>
    <xf numFmtId="0" fontId="8" fillId="8" borderId="3" xfId="0" applyFont="1" applyFill="1" applyBorder="1" applyAlignment="1">
      <alignment horizontal="center"/>
    </xf>
    <xf numFmtId="0" fontId="5" fillId="9" borderId="3" xfId="0" applyFont="1" applyFill="1" applyBorder="1" applyAlignment="1">
      <alignment horizontal="center" vertical="top"/>
    </xf>
    <xf numFmtId="0" fontId="0" fillId="9" borderId="3" xfId="0" applyFill="1" applyBorder="1" applyAlignment="1">
      <alignment horizontal="center" vertical="top"/>
    </xf>
    <xf numFmtId="0" fontId="0" fillId="6" borderId="3" xfId="0" applyFill="1" applyBorder="1" applyAlignment="1">
      <alignment horizontal="center" vertical="top"/>
    </xf>
    <xf numFmtId="0" fontId="0" fillId="10" borderId="3" xfId="0" applyFill="1" applyBorder="1" applyAlignment="1">
      <alignment horizontal="center" vertical="top"/>
    </xf>
    <xf numFmtId="164" fontId="0" fillId="10" borderId="3" xfId="0" applyNumberFormat="1" applyFill="1" applyBorder="1" applyAlignment="1">
      <alignment horizontal="center" vertical="top"/>
    </xf>
    <xf numFmtId="164" fontId="0" fillId="0" borderId="3" xfId="0" applyNumberFormat="1" applyBorder="1" applyAlignment="1">
      <alignment horizontal="center" vertical="top"/>
    </xf>
    <xf numFmtId="0" fontId="0" fillId="7" borderId="3" xfId="0" applyFill="1" applyBorder="1" applyAlignment="1">
      <alignment horizontal="center" vertical="top"/>
    </xf>
    <xf numFmtId="164" fontId="0" fillId="7" borderId="3" xfId="0" applyNumberFormat="1" applyFill="1" applyBorder="1" applyAlignment="1">
      <alignment horizontal="center" vertical="top"/>
    </xf>
    <xf numFmtId="0" fontId="0" fillId="7" borderId="3" xfId="0" applyFill="1" applyBorder="1" applyAlignment="1">
      <alignment vertical="top"/>
    </xf>
    <xf numFmtId="3" fontId="0" fillId="7" borderId="3" xfId="0" applyNumberFormat="1" applyFill="1" applyBorder="1" applyAlignment="1">
      <alignment horizontal="center" vertical="top"/>
    </xf>
    <xf numFmtId="0" fontId="0" fillId="7" borderId="3" xfId="0" applyFill="1" applyBorder="1" applyAlignment="1">
      <alignment horizontal="center"/>
    </xf>
    <xf numFmtId="0" fontId="6" fillId="11" borderId="3" xfId="0" applyFont="1" applyFill="1" applyBorder="1"/>
    <xf numFmtId="0" fontId="6" fillId="11" borderId="3" xfId="0" applyFont="1" applyFill="1" applyBorder="1" applyAlignment="1">
      <alignment horizontal="center" vertical="top"/>
    </xf>
    <xf numFmtId="0" fontId="0" fillId="0" borderId="4" xfId="0" applyBorder="1"/>
    <xf numFmtId="0" fontId="0" fillId="11" borderId="4" xfId="0" applyFill="1" applyBorder="1" applyAlignment="1">
      <alignment wrapText="1"/>
    </xf>
    <xf numFmtId="0" fontId="0" fillId="0" borderId="0" xfId="0" applyBorder="1"/>
    <xf numFmtId="0" fontId="0" fillId="0" borderId="0" xfId="0" applyFill="1" applyBorder="1" applyAlignment="1">
      <alignment wrapText="1"/>
    </xf>
    <xf numFmtId="0" fontId="5" fillId="12" borderId="4" xfId="0" applyFont="1" applyFill="1" applyBorder="1"/>
    <xf numFmtId="0" fontId="5" fillId="13" borderId="4" xfId="0" applyFont="1" applyFill="1" applyBorder="1" applyAlignment="1">
      <alignment wrapText="1"/>
    </xf>
    <xf numFmtId="0" fontId="5" fillId="13" borderId="4" xfId="0" applyFont="1" applyFill="1" applyBorder="1"/>
    <xf numFmtId="0" fontId="4" fillId="0" borderId="0" xfId="0" applyFont="1" applyAlignment="1">
      <alignment readingOrder="1"/>
    </xf>
    <xf numFmtId="0" fontId="5" fillId="0" borderId="5" xfId="0" applyFont="1" applyBorder="1" applyAlignment="1">
      <alignment horizontal="center"/>
    </xf>
    <xf numFmtId="0" fontId="0" fillId="0" borderId="5" xfId="0" applyBorder="1" applyAlignment="1">
      <alignment horizontal="center"/>
    </xf>
    <xf numFmtId="0" fontId="5" fillId="0" borderId="6" xfId="0" applyFont="1" applyBorder="1" applyAlignment="1">
      <alignment horizontal="center"/>
    </xf>
    <xf numFmtId="3" fontId="7" fillId="0" borderId="6" xfId="0" applyNumberFormat="1" applyFont="1" applyBorder="1" applyAlignment="1">
      <alignment horizontal="center"/>
    </xf>
    <xf numFmtId="0" fontId="10" fillId="14" borderId="7" xfId="0" applyFont="1" applyFill="1" applyBorder="1" applyAlignment="1">
      <alignment wrapText="1"/>
    </xf>
    <xf numFmtId="0" fontId="10" fillId="14" borderId="8" xfId="0" applyFont="1" applyFill="1" applyBorder="1" applyAlignment="1">
      <alignment wrapText="1"/>
    </xf>
    <xf numFmtId="0" fontId="10" fillId="14" borderId="9" xfId="0" applyFont="1" applyFill="1" applyBorder="1" applyAlignment="1">
      <alignment wrapText="1"/>
    </xf>
    <xf numFmtId="0" fontId="9" fillId="15" borderId="10" xfId="0" applyFont="1" applyFill="1" applyBorder="1" applyAlignment="1">
      <alignment wrapText="1"/>
    </xf>
    <xf numFmtId="0" fontId="13" fillId="0" borderId="0" xfId="0" applyFont="1" applyFill="1" applyBorder="1" applyAlignment="1"/>
    <xf numFmtId="0" fontId="13" fillId="0" borderId="0" xfId="0" applyFont="1" applyFill="1" applyAlignment="1"/>
    <xf numFmtId="0" fontId="14" fillId="0" borderId="3" xfId="0" applyFont="1" applyFill="1" applyBorder="1" applyAlignment="1"/>
    <xf numFmtId="0" fontId="14" fillId="0" borderId="13" xfId="0" applyFont="1" applyFill="1" applyBorder="1" applyAlignment="1"/>
    <xf numFmtId="0" fontId="15" fillId="0" borderId="0" xfId="0" applyFont="1" applyFill="1" applyBorder="1" applyAlignment="1"/>
    <xf numFmtId="0" fontId="14" fillId="0" borderId="14" xfId="0" applyFont="1" applyFill="1" applyBorder="1" applyAlignment="1"/>
    <xf numFmtId="0" fontId="14" fillId="0" borderId="15" xfId="0" applyFont="1" applyFill="1" applyBorder="1" applyAlignment="1"/>
    <xf numFmtId="0" fontId="14" fillId="16" borderId="0" xfId="0" applyFont="1" applyFill="1" applyBorder="1" applyAlignment="1"/>
    <xf numFmtId="0" fontId="14" fillId="16" borderId="3" xfId="0" applyFont="1" applyFill="1" applyBorder="1" applyAlignment="1"/>
    <xf numFmtId="0" fontId="14" fillId="16" borderId="14" xfId="0" applyFont="1" applyFill="1" applyBorder="1" applyAlignment="1"/>
    <xf numFmtId="0" fontId="14" fillId="0" borderId="0" xfId="0" applyFont="1" applyFill="1" applyAlignment="1"/>
    <xf numFmtId="8" fontId="14" fillId="16" borderId="14" xfId="0" applyNumberFormat="1" applyFont="1" applyFill="1" applyBorder="1" applyAlignment="1"/>
    <xf numFmtId="8" fontId="14" fillId="16" borderId="3" xfId="0" applyNumberFormat="1" applyFont="1" applyFill="1" applyBorder="1" applyAlignment="1"/>
    <xf numFmtId="0" fontId="15" fillId="17" borderId="0" xfId="0" applyFont="1" applyFill="1" applyBorder="1" applyAlignment="1"/>
    <xf numFmtId="0" fontId="15" fillId="17" borderId="0" xfId="0" applyFont="1" applyFill="1" applyAlignment="1"/>
    <xf numFmtId="0" fontId="16" fillId="0" borderId="0" xfId="0" applyFont="1" applyFill="1" applyBorder="1" applyAlignment="1"/>
    <xf numFmtId="0" fontId="16" fillId="0" borderId="0" xfId="0" applyFont="1" applyFill="1" applyAlignment="1"/>
    <xf numFmtId="0" fontId="15" fillId="0" borderId="14" xfId="0" applyFont="1" applyFill="1" applyBorder="1" applyAlignment="1"/>
    <xf numFmtId="0" fontId="15" fillId="0" borderId="15" xfId="0" applyFont="1" applyFill="1" applyBorder="1" applyAlignment="1"/>
    <xf numFmtId="0" fontId="20" fillId="0" borderId="14" xfId="0" applyFont="1" applyFill="1" applyBorder="1" applyAlignment="1"/>
    <xf numFmtId="0" fontId="20" fillId="0" borderId="15" xfId="0" applyFont="1" applyFill="1" applyBorder="1" applyAlignment="1"/>
    <xf numFmtId="0" fontId="15" fillId="0" borderId="21" xfId="0" applyFont="1" applyFill="1" applyBorder="1" applyAlignment="1"/>
    <xf numFmtId="0" fontId="15" fillId="17" borderId="22" xfId="0" applyFont="1" applyFill="1" applyBorder="1" applyAlignment="1"/>
    <xf numFmtId="0" fontId="19" fillId="0" borderId="14" xfId="0" applyFont="1" applyFill="1" applyBorder="1" applyAlignment="1"/>
    <xf numFmtId="0" fontId="19" fillId="0" borderId="15" xfId="0" applyFont="1" applyFill="1" applyBorder="1" applyAlignment="1"/>
    <xf numFmtId="10" fontId="14" fillId="16" borderId="15" xfId="0" applyNumberFormat="1" applyFont="1" applyFill="1" applyBorder="1" applyAlignment="1"/>
    <xf numFmtId="0" fontId="21" fillId="0" borderId="14" xfId="0" applyFont="1" applyFill="1" applyBorder="1" applyAlignment="1"/>
    <xf numFmtId="0" fontId="21" fillId="0" borderId="15" xfId="0" applyFont="1" applyFill="1" applyBorder="1" applyAlignment="1"/>
    <xf numFmtId="0" fontId="14" fillId="0" borderId="21" xfId="0" applyFont="1" applyFill="1" applyBorder="1" applyAlignment="1"/>
    <xf numFmtId="0" fontId="22" fillId="0" borderId="15" xfId="0" applyFont="1" applyFill="1" applyBorder="1" applyAlignment="1"/>
    <xf numFmtId="0" fontId="14" fillId="17" borderId="22" xfId="0" applyFont="1" applyFill="1" applyBorder="1" applyAlignment="1"/>
    <xf numFmtId="9" fontId="14" fillId="17" borderId="22" xfId="0" applyNumberFormat="1" applyFont="1" applyFill="1" applyBorder="1" applyAlignment="1"/>
    <xf numFmtId="0" fontId="23" fillId="0" borderId="14" xfId="0" applyFont="1" applyFill="1" applyBorder="1" applyAlignment="1"/>
    <xf numFmtId="0" fontId="23" fillId="0" borderId="15" xfId="0" applyFont="1" applyFill="1" applyBorder="1" applyAlignment="1"/>
    <xf numFmtId="10" fontId="23" fillId="0" borderId="15" xfId="0" applyNumberFormat="1" applyFont="1" applyFill="1" applyBorder="1" applyAlignment="1"/>
    <xf numFmtId="0" fontId="14" fillId="0" borderId="23" xfId="0" applyFont="1" applyFill="1" applyBorder="1" applyAlignment="1"/>
    <xf numFmtId="0" fontId="14" fillId="0" borderId="24" xfId="0" applyFont="1" applyFill="1" applyBorder="1" applyAlignment="1"/>
    <xf numFmtId="0" fontId="14" fillId="0" borderId="25" xfId="0" applyFont="1" applyFill="1" applyBorder="1" applyAlignment="1"/>
    <xf numFmtId="9" fontId="14" fillId="17" borderId="26" xfId="0" applyNumberFormat="1" applyFont="1" applyFill="1" applyBorder="1" applyAlignment="1"/>
    <xf numFmtId="0" fontId="23" fillId="0" borderId="23" xfId="0" applyFont="1" applyFill="1" applyBorder="1" applyAlignment="1"/>
    <xf numFmtId="10" fontId="23" fillId="0" borderId="23" xfId="0" applyNumberFormat="1" applyFont="1" applyFill="1" applyBorder="1" applyAlignment="1"/>
    <xf numFmtId="10" fontId="14" fillId="0" borderId="27" xfId="0" applyNumberFormat="1" applyFont="1" applyFill="1" applyBorder="1" applyAlignment="1"/>
    <xf numFmtId="0" fontId="15" fillId="18" borderId="27" xfId="0" applyFont="1" applyFill="1" applyBorder="1" applyAlignment="1"/>
    <xf numFmtId="0" fontId="15" fillId="19" borderId="28" xfId="0" applyFont="1" applyFill="1" applyBorder="1" applyAlignment="1"/>
    <xf numFmtId="0" fontId="15" fillId="18" borderId="29" xfId="0" applyFont="1" applyFill="1" applyBorder="1" applyAlignment="1"/>
    <xf numFmtId="0" fontId="15" fillId="19" borderId="26" xfId="0" applyFont="1" applyFill="1" applyBorder="1" applyAlignment="1"/>
    <xf numFmtId="9" fontId="15" fillId="17" borderId="26" xfId="0" applyNumberFormat="1" applyFont="1" applyFill="1" applyBorder="1" applyAlignment="1"/>
    <xf numFmtId="0" fontId="24" fillId="0" borderId="0" xfId="0" applyFont="1" applyFill="1" applyBorder="1" applyAlignment="1"/>
    <xf numFmtId="0" fontId="19" fillId="18" borderId="27" xfId="0" applyFont="1" applyFill="1" applyBorder="1" applyAlignment="1"/>
    <xf numFmtId="0" fontId="19" fillId="19" borderId="28" xfId="0" applyFont="1" applyFill="1" applyBorder="1" applyAlignment="1"/>
    <xf numFmtId="10" fontId="23" fillId="0" borderId="28" xfId="0" applyNumberFormat="1" applyFont="1" applyFill="1" applyBorder="1" applyAlignment="1"/>
    <xf numFmtId="0" fontId="18" fillId="0" borderId="0" xfId="0" applyFont="1" applyFill="1" applyBorder="1" applyAlignment="1"/>
    <xf numFmtId="9" fontId="15" fillId="17" borderId="29" xfId="0" applyNumberFormat="1" applyFont="1" applyFill="1" applyBorder="1" applyAlignment="1"/>
    <xf numFmtId="0" fontId="15" fillId="0" borderId="0" xfId="0" applyFont="1" applyFill="1" applyAlignment="1"/>
    <xf numFmtId="0" fontId="15" fillId="0" borderId="3" xfId="0" applyFont="1" applyFill="1" applyBorder="1" applyAlignment="1"/>
    <xf numFmtId="0" fontId="15" fillId="0" borderId="13" xfId="0" applyFont="1" applyFill="1" applyBorder="1" applyAlignment="1">
      <alignment wrapText="1"/>
    </xf>
    <xf numFmtId="0" fontId="17" fillId="0" borderId="14" xfId="0" applyFont="1" applyFill="1" applyBorder="1" applyAlignment="1"/>
    <xf numFmtId="3" fontId="14" fillId="0" borderId="15" xfId="0" applyNumberFormat="1" applyFont="1" applyFill="1" applyBorder="1" applyAlignment="1"/>
    <xf numFmtId="8" fontId="14" fillId="0" borderId="15" xfId="0" applyNumberFormat="1" applyFont="1" applyFill="1" applyBorder="1" applyAlignment="1"/>
    <xf numFmtId="6" fontId="15" fillId="17" borderId="15" xfId="0" applyNumberFormat="1" applyFont="1" applyFill="1" applyBorder="1" applyAlignment="1"/>
    <xf numFmtId="0" fontId="26" fillId="0" borderId="0" xfId="0" applyFont="1" applyFill="1" applyBorder="1" applyAlignment="1"/>
    <xf numFmtId="0" fontId="22" fillId="0" borderId="0" xfId="0" applyFont="1" applyFill="1" applyBorder="1" applyAlignment="1"/>
    <xf numFmtId="0" fontId="18" fillId="20" borderId="30" xfId="0" applyFont="1" applyFill="1" applyBorder="1" applyAlignment="1"/>
    <xf numFmtId="0" fontId="14" fillId="20" borderId="31" xfId="0" applyFont="1" applyFill="1" applyBorder="1" applyAlignment="1"/>
    <xf numFmtId="0" fontId="14" fillId="21" borderId="32" xfId="0" applyFont="1" applyFill="1" applyBorder="1" applyAlignment="1"/>
    <xf numFmtId="0" fontId="15" fillId="0" borderId="33" xfId="0" applyFont="1" applyFill="1" applyBorder="1" applyAlignment="1">
      <alignment wrapText="1"/>
    </xf>
    <xf numFmtId="0" fontId="14" fillId="16" borderId="21" xfId="0" applyFont="1" applyFill="1" applyBorder="1" applyAlignment="1"/>
    <xf numFmtId="0" fontId="14" fillId="20" borderId="15" xfId="0" applyFont="1" applyFill="1" applyBorder="1" applyAlignment="1"/>
    <xf numFmtId="9" fontId="14" fillId="20" borderId="15" xfId="0" applyNumberFormat="1" applyFont="1" applyFill="1" applyBorder="1" applyAlignment="1"/>
    <xf numFmtId="0" fontId="14" fillId="20" borderId="36" xfId="0" applyFont="1" applyFill="1" applyBorder="1" applyAlignment="1"/>
    <xf numFmtId="0" fontId="14" fillId="20" borderId="0" xfId="0" applyFont="1" applyFill="1" applyBorder="1" applyAlignment="1"/>
    <xf numFmtId="0" fontId="17" fillId="20" borderId="36" xfId="0" applyFont="1" applyFill="1" applyBorder="1" applyAlignment="1"/>
    <xf numFmtId="0" fontId="17" fillId="20" borderId="0" xfId="0" applyFont="1" applyFill="1" applyAlignment="1"/>
    <xf numFmtId="0" fontId="15" fillId="0" borderId="33" xfId="0" applyFont="1" applyFill="1" applyBorder="1" applyAlignment="1"/>
    <xf numFmtId="0" fontId="15" fillId="21" borderId="13" xfId="0" applyFont="1" applyFill="1" applyBorder="1" applyAlignment="1"/>
    <xf numFmtId="0" fontId="14" fillId="21" borderId="13" xfId="0" applyFont="1" applyFill="1" applyBorder="1" applyAlignment="1"/>
    <xf numFmtId="0" fontId="14" fillId="16" borderId="25" xfId="0" applyFont="1" applyFill="1" applyBorder="1" applyAlignment="1"/>
    <xf numFmtId="0" fontId="14" fillId="21" borderId="25" xfId="0" applyFont="1" applyFill="1" applyBorder="1" applyAlignment="1"/>
    <xf numFmtId="0" fontId="18" fillId="0" borderId="30" xfId="0" applyFont="1" applyFill="1" applyBorder="1" applyAlignment="1"/>
    <xf numFmtId="6" fontId="14" fillId="0" borderId="15" xfId="0" applyNumberFormat="1" applyFont="1" applyFill="1" applyBorder="1" applyAlignment="1"/>
    <xf numFmtId="0" fontId="15" fillId="20" borderId="36" xfId="0" applyFont="1" applyFill="1" applyBorder="1" applyAlignment="1"/>
    <xf numFmtId="6" fontId="18" fillId="20" borderId="14" xfId="0" applyNumberFormat="1" applyFont="1" applyFill="1" applyBorder="1" applyAlignment="1"/>
    <xf numFmtId="6" fontId="18" fillId="20" borderId="15" xfId="0" applyNumberFormat="1" applyFont="1" applyFill="1" applyBorder="1" applyAlignment="1"/>
    <xf numFmtId="0" fontId="15" fillId="20" borderId="0" xfId="0" applyFont="1" applyFill="1" applyBorder="1" applyAlignment="1"/>
    <xf numFmtId="0" fontId="14" fillId="21" borderId="15" xfId="0" applyFont="1" applyFill="1" applyBorder="1" applyAlignment="1"/>
    <xf numFmtId="0" fontId="15" fillId="20" borderId="37" xfId="0" applyFont="1" applyFill="1" applyBorder="1" applyAlignment="1"/>
    <xf numFmtId="0" fontId="14" fillId="20" borderId="38" xfId="0" applyFont="1" applyFill="1" applyBorder="1" applyAlignment="1"/>
    <xf numFmtId="0" fontId="15" fillId="20" borderId="38" xfId="0" applyFont="1" applyFill="1" applyBorder="1" applyAlignment="1"/>
    <xf numFmtId="6" fontId="17" fillId="0" borderId="39" xfId="0" applyNumberFormat="1" applyFont="1" applyFill="1" applyBorder="1" applyAlignment="1"/>
    <xf numFmtId="6" fontId="17" fillId="0" borderId="25" xfId="0" applyNumberFormat="1" applyFont="1" applyFill="1" applyBorder="1" applyAlignment="1"/>
    <xf numFmtId="0" fontId="18" fillId="20" borderId="0" xfId="0" applyFont="1" applyFill="1" applyAlignment="1"/>
    <xf numFmtId="0" fontId="15" fillId="20" borderId="31" xfId="0" applyFont="1" applyFill="1" applyBorder="1" applyAlignment="1"/>
    <xf numFmtId="0" fontId="15" fillId="21" borderId="13" xfId="0" applyFont="1" applyFill="1" applyBorder="1" applyAlignment="1">
      <alignment wrapText="1"/>
    </xf>
    <xf numFmtId="0" fontId="15" fillId="0" borderId="24" xfId="0" applyFont="1" applyFill="1" applyBorder="1" applyAlignment="1">
      <alignment wrapText="1"/>
    </xf>
    <xf numFmtId="3" fontId="14" fillId="17" borderId="25" xfId="0" applyNumberFormat="1" applyFont="1" applyFill="1" applyBorder="1" applyAlignment="1"/>
    <xf numFmtId="6" fontId="15" fillId="17" borderId="25" xfId="0" applyNumberFormat="1" applyFont="1" applyFill="1" applyBorder="1" applyAlignment="1"/>
    <xf numFmtId="0" fontId="14" fillId="0" borderId="0" xfId="0" applyFont="1" applyFill="1" applyBorder="1" applyAlignment="1">
      <alignment wrapText="1"/>
    </xf>
    <xf numFmtId="0" fontId="13" fillId="0" borderId="0" xfId="0" applyFont="1" applyBorder="1" applyAlignment="1"/>
    <xf numFmtId="0" fontId="15" fillId="0" borderId="0" xfId="0" applyFont="1" applyBorder="1" applyAlignment="1"/>
    <xf numFmtId="0" fontId="14" fillId="0" borderId="3" xfId="0" applyFont="1" applyBorder="1" applyAlignment="1"/>
    <xf numFmtId="0" fontId="15" fillId="0" borderId="3" xfId="0" applyFont="1" applyBorder="1" applyAlignment="1"/>
    <xf numFmtId="0" fontId="20" fillId="0" borderId="3" xfId="0" applyFont="1" applyBorder="1" applyAlignment="1"/>
    <xf numFmtId="0" fontId="15" fillId="17" borderId="3" xfId="0" applyFont="1" applyFill="1" applyBorder="1" applyAlignment="1"/>
    <xf numFmtId="0" fontId="19" fillId="0" borderId="3" xfId="0" applyFont="1" applyBorder="1" applyAlignment="1"/>
    <xf numFmtId="0" fontId="19" fillId="0" borderId="14" xfId="0" applyFont="1" applyBorder="1" applyAlignment="1"/>
    <xf numFmtId="10" fontId="14" fillId="16" borderId="3" xfId="0" applyNumberFormat="1" applyFont="1" applyFill="1" applyBorder="1" applyAlignment="1"/>
    <xf numFmtId="0" fontId="21" fillId="0" borderId="3" xfId="0" applyFont="1" applyBorder="1" applyAlignment="1"/>
    <xf numFmtId="0" fontId="14" fillId="0" borderId="13" xfId="0" applyFont="1" applyBorder="1" applyAlignment="1"/>
    <xf numFmtId="0" fontId="14" fillId="17" borderId="3" xfId="0" applyFont="1" applyFill="1" applyBorder="1" applyAlignment="1"/>
    <xf numFmtId="9" fontId="14" fillId="17" borderId="3" xfId="0" applyNumberFormat="1" applyFont="1" applyFill="1" applyBorder="1" applyAlignment="1"/>
    <xf numFmtId="0" fontId="23" fillId="0" borderId="3" xfId="0" applyFont="1" applyBorder="1" applyAlignment="1"/>
    <xf numFmtId="10" fontId="23" fillId="0" borderId="3" xfId="0" applyNumberFormat="1" applyFont="1" applyBorder="1" applyAlignment="1"/>
    <xf numFmtId="0" fontId="14" fillId="0" borderId="40" xfId="0" applyFont="1" applyBorder="1" applyAlignment="1"/>
    <xf numFmtId="9" fontId="14" fillId="17" borderId="40" xfId="0" applyNumberFormat="1" applyFont="1" applyFill="1" applyBorder="1" applyAlignment="1"/>
    <xf numFmtId="0" fontId="23" fillId="0" borderId="40" xfId="0" applyFont="1" applyBorder="1" applyAlignment="1"/>
    <xf numFmtId="10" fontId="23" fillId="0" borderId="40" xfId="0" applyNumberFormat="1" applyFont="1" applyBorder="1" applyAlignment="1"/>
    <xf numFmtId="0" fontId="15" fillId="19" borderId="27" xfId="0" applyFont="1" applyFill="1" applyBorder="1" applyAlignment="1"/>
    <xf numFmtId="9" fontId="15" fillId="17" borderId="27" xfId="0" applyNumberFormat="1" applyFont="1" applyFill="1" applyBorder="1" applyAlignment="1"/>
    <xf numFmtId="0" fontId="19" fillId="19" borderId="27" xfId="0" applyFont="1" applyFill="1" applyBorder="1" applyAlignment="1"/>
    <xf numFmtId="10" fontId="23" fillId="0" borderId="27" xfId="0" applyNumberFormat="1" applyFont="1" applyBorder="1" applyAlignment="1"/>
    <xf numFmtId="0" fontId="18" fillId="0" borderId="0" xfId="0" applyFont="1" applyBorder="1" applyAlignment="1"/>
    <xf numFmtId="0" fontId="15" fillId="0" borderId="3" xfId="0" applyFont="1" applyBorder="1" applyAlignment="1">
      <alignment wrapText="1"/>
    </xf>
    <xf numFmtId="0" fontId="17" fillId="0" borderId="3" xfId="0" applyFont="1" applyBorder="1" applyAlignment="1"/>
    <xf numFmtId="3" fontId="14" fillId="0" borderId="3" xfId="0" applyNumberFormat="1" applyFont="1" applyBorder="1" applyAlignment="1"/>
    <xf numFmtId="8" fontId="14" fillId="0" borderId="3" xfId="0" applyNumberFormat="1" applyFont="1" applyBorder="1" applyAlignment="1"/>
    <xf numFmtId="6" fontId="15" fillId="17" borderId="3" xfId="0" applyNumberFormat="1" applyFont="1" applyFill="1" applyBorder="1" applyAlignment="1"/>
    <xf numFmtId="0" fontId="19" fillId="0" borderId="0" xfId="0" applyFont="1" applyBorder="1" applyAlignment="1"/>
    <xf numFmtId="9" fontId="14" fillId="16" borderId="3" xfId="0" applyNumberFormat="1" applyFont="1" applyFill="1" applyBorder="1" applyAlignment="1"/>
    <xf numFmtId="0" fontId="17" fillId="0" borderId="0" xfId="0" applyFont="1" applyBorder="1" applyAlignment="1"/>
    <xf numFmtId="0" fontId="15" fillId="21" borderId="3" xfId="0" applyFont="1" applyFill="1" applyBorder="1" applyAlignment="1"/>
    <xf numFmtId="0" fontId="14" fillId="21" borderId="3" xfId="0" applyFont="1" applyFill="1" applyBorder="1" applyAlignment="1"/>
    <xf numFmtId="6" fontId="14" fillId="0" borderId="3" xfId="0" applyNumberFormat="1" applyFont="1" applyBorder="1" applyAlignment="1"/>
    <xf numFmtId="0" fontId="14" fillId="0" borderId="0" xfId="0" applyFont="1" applyBorder="1" applyAlignment="1">
      <alignment wrapText="1"/>
    </xf>
    <xf numFmtId="0" fontId="6" fillId="11" borderId="40" xfId="0" applyFont="1" applyFill="1" applyBorder="1"/>
    <xf numFmtId="0" fontId="6" fillId="11" borderId="40" xfId="0" applyFont="1" applyFill="1" applyBorder="1" applyAlignment="1">
      <alignment horizontal="center" vertical="top"/>
    </xf>
    <xf numFmtId="0" fontId="5" fillId="0" borderId="4" xfId="0" applyFont="1" applyBorder="1" applyAlignment="1">
      <alignment horizontal="center"/>
    </xf>
    <xf numFmtId="0" fontId="5" fillId="0" borderId="5" xfId="0" applyFont="1" applyBorder="1" applyAlignment="1">
      <alignment horizontal="center" vertical="top"/>
    </xf>
    <xf numFmtId="3" fontId="0" fillId="0" borderId="5" xfId="0" applyNumberFormat="1" applyBorder="1" applyAlignment="1">
      <alignment horizontal="center" vertical="top"/>
    </xf>
    <xf numFmtId="3" fontId="0" fillId="11" borderId="5" xfId="0" applyNumberFormat="1" applyFill="1" applyBorder="1" applyAlignment="1">
      <alignment horizontal="center" vertical="top"/>
    </xf>
    <xf numFmtId="0" fontId="0" fillId="22" borderId="4" xfId="0" applyFill="1" applyBorder="1" applyAlignment="1">
      <alignment horizontal="center"/>
    </xf>
    <xf numFmtId="0" fontId="0" fillId="0" borderId="4" xfId="0" applyBorder="1" applyAlignment="1">
      <alignment horizontal="center"/>
    </xf>
    <xf numFmtId="0" fontId="0" fillId="0" borderId="0" xfId="0" applyFill="1" applyBorder="1" applyAlignment="1">
      <alignment horizontal="center"/>
    </xf>
    <xf numFmtId="3" fontId="0" fillId="0" borderId="0" xfId="0" applyNumberFormat="1" applyFill="1" applyBorder="1" applyAlignment="1">
      <alignment horizontal="center"/>
    </xf>
    <xf numFmtId="164" fontId="0" fillId="0" borderId="0" xfId="0" applyNumberFormat="1" applyFill="1" applyBorder="1" applyAlignment="1">
      <alignment horizontal="center"/>
    </xf>
    <xf numFmtId="0" fontId="0" fillId="0" borderId="0" xfId="0" applyFill="1"/>
    <xf numFmtId="0" fontId="0" fillId="11" borderId="3" xfId="0" applyFill="1" applyBorder="1" applyAlignment="1">
      <alignment horizontal="center"/>
    </xf>
    <xf numFmtId="3" fontId="0" fillId="11" borderId="3" xfId="0" applyNumberFormat="1" applyFill="1" applyBorder="1" applyAlignment="1">
      <alignment horizontal="center"/>
    </xf>
    <xf numFmtId="164" fontId="0" fillId="11" borderId="6" xfId="0" applyNumberFormat="1" applyFill="1" applyBorder="1" applyAlignment="1">
      <alignment horizontal="center"/>
    </xf>
    <xf numFmtId="0" fontId="0" fillId="11" borderId="40" xfId="0" applyFill="1" applyBorder="1" applyAlignment="1">
      <alignment horizontal="center"/>
    </xf>
    <xf numFmtId="3" fontId="0" fillId="11" borderId="40" xfId="0" applyNumberFormat="1" applyFill="1" applyBorder="1" applyAlignment="1">
      <alignment horizontal="center"/>
    </xf>
    <xf numFmtId="0" fontId="29" fillId="23" borderId="4" xfId="0" applyFont="1" applyFill="1" applyBorder="1"/>
    <xf numFmtId="0" fontId="6" fillId="23" borderId="4" xfId="0" applyFont="1" applyFill="1" applyBorder="1" applyAlignment="1">
      <alignment horizontal="center" vertical="top"/>
    </xf>
    <xf numFmtId="0" fontId="6" fillId="23" borderId="3" xfId="0" applyFont="1" applyFill="1" applyBorder="1" applyAlignment="1">
      <alignment horizontal="center" vertical="top"/>
    </xf>
    <xf numFmtId="3" fontId="0" fillId="23" borderId="5" xfId="0" applyNumberFormat="1" applyFill="1" applyBorder="1" applyAlignment="1">
      <alignment horizontal="center" vertical="top"/>
    </xf>
    <xf numFmtId="0" fontId="0" fillId="23" borderId="4" xfId="0" applyFill="1" applyBorder="1" applyAlignment="1">
      <alignment horizontal="center"/>
    </xf>
    <xf numFmtId="3" fontId="0" fillId="23" borderId="4" xfId="0" applyNumberFormat="1" applyFill="1" applyBorder="1" applyAlignment="1">
      <alignment horizontal="center"/>
    </xf>
    <xf numFmtId="164" fontId="0" fillId="23" borderId="4" xfId="0" applyNumberFormat="1" applyFill="1" applyBorder="1" applyAlignment="1">
      <alignment horizontal="center"/>
    </xf>
    <xf numFmtId="164" fontId="0" fillId="23" borderId="6" xfId="0" applyNumberFormat="1" applyFill="1" applyBorder="1" applyAlignment="1">
      <alignment horizontal="center"/>
    </xf>
    <xf numFmtId="164" fontId="0" fillId="11" borderId="4" xfId="0" applyNumberFormat="1" applyFill="1" applyBorder="1" applyAlignment="1">
      <alignment horizontal="center"/>
    </xf>
    <xf numFmtId="164" fontId="0" fillId="0" borderId="0" xfId="0" applyNumberFormat="1"/>
    <xf numFmtId="0" fontId="32" fillId="24" borderId="0" xfId="0" applyFont="1" applyFill="1" applyAlignment="1">
      <alignment readingOrder="1"/>
    </xf>
    <xf numFmtId="0" fontId="4" fillId="24" borderId="0" xfId="0" applyFont="1" applyFill="1" applyAlignment="1">
      <alignment readingOrder="1"/>
    </xf>
    <xf numFmtId="0" fontId="34" fillId="24" borderId="4" xfId="0" applyFont="1" applyFill="1" applyBorder="1" applyAlignment="1">
      <alignment readingOrder="1"/>
    </xf>
    <xf numFmtId="0" fontId="35" fillId="24" borderId="4" xfId="0" applyFont="1" applyFill="1" applyBorder="1" applyAlignment="1">
      <alignment readingOrder="1"/>
    </xf>
    <xf numFmtId="0" fontId="35" fillId="24" borderId="42" xfId="0" applyFont="1" applyFill="1" applyBorder="1" applyAlignment="1">
      <alignment readingOrder="1"/>
    </xf>
    <xf numFmtId="0" fontId="0" fillId="24" borderId="43" xfId="0" applyFill="1" applyBorder="1"/>
    <xf numFmtId="0" fontId="35" fillId="24" borderId="43" xfId="0" applyFont="1" applyFill="1" applyBorder="1" applyAlignment="1">
      <alignment readingOrder="1"/>
    </xf>
    <xf numFmtId="0" fontId="37" fillId="24" borderId="4" xfId="0" applyFont="1" applyFill="1" applyBorder="1" applyAlignment="1">
      <alignment readingOrder="1"/>
    </xf>
    <xf numFmtId="0" fontId="0" fillId="0" borderId="36" xfId="0" applyBorder="1"/>
    <xf numFmtId="0" fontId="38" fillId="0" borderId="0" xfId="0" applyFont="1"/>
    <xf numFmtId="0" fontId="38" fillId="0" borderId="35" xfId="0" applyFont="1" applyBorder="1"/>
    <xf numFmtId="4" fontId="0" fillId="0" borderId="0" xfId="0" applyNumberFormat="1"/>
    <xf numFmtId="0" fontId="0" fillId="0" borderId="35" xfId="0" applyBorder="1"/>
    <xf numFmtId="0" fontId="0" fillId="0" borderId="37" xfId="0" applyBorder="1"/>
    <xf numFmtId="3" fontId="0" fillId="0" borderId="38" xfId="0" applyNumberFormat="1" applyBorder="1"/>
    <xf numFmtId="0" fontId="0" fillId="0" borderId="38" xfId="0" applyBorder="1" applyAlignment="1">
      <alignment wrapText="1"/>
    </xf>
    <xf numFmtId="0" fontId="0" fillId="0" borderId="26" xfId="0" applyBorder="1"/>
    <xf numFmtId="3" fontId="0" fillId="0" borderId="0" xfId="0" applyNumberFormat="1"/>
    <xf numFmtId="0" fontId="38" fillId="0" borderId="0" xfId="0" applyFont="1" applyAlignment="1">
      <alignment wrapText="1"/>
    </xf>
    <xf numFmtId="0" fontId="38" fillId="0" borderId="41" xfId="0" applyFont="1" applyBorder="1" applyAlignment="1">
      <alignment wrapText="1"/>
    </xf>
    <xf numFmtId="0" fontId="38" fillId="0" borderId="45" xfId="0" applyFont="1" applyBorder="1" applyAlignment="1">
      <alignment wrapText="1"/>
    </xf>
    <xf numFmtId="0" fontId="39" fillId="0" borderId="0" xfId="0" applyFont="1" applyAlignment="1">
      <alignment horizontal="center"/>
    </xf>
    <xf numFmtId="9" fontId="40" fillId="0" borderId="0" xfId="1" applyFont="1"/>
    <xf numFmtId="2" fontId="0" fillId="0" borderId="46" xfId="0" applyNumberFormat="1" applyBorder="1"/>
    <xf numFmtId="2" fontId="0" fillId="0" borderId="23" xfId="0" applyNumberFormat="1" applyBorder="1"/>
    <xf numFmtId="9" fontId="38" fillId="0" borderId="0" xfId="1" applyFont="1"/>
    <xf numFmtId="2" fontId="38" fillId="0" borderId="46" xfId="0" applyNumberFormat="1" applyFont="1" applyBorder="1"/>
    <xf numFmtId="2" fontId="38" fillId="0" borderId="23" xfId="0" applyNumberFormat="1" applyFont="1" applyBorder="1"/>
    <xf numFmtId="0" fontId="38" fillId="0" borderId="23" xfId="0" applyFont="1" applyBorder="1" applyAlignment="1">
      <alignment wrapText="1"/>
    </xf>
    <xf numFmtId="0" fontId="38" fillId="0" borderId="48" xfId="0" applyFont="1" applyBorder="1"/>
    <xf numFmtId="2" fontId="38" fillId="0" borderId="15" xfId="0" applyNumberFormat="1" applyFont="1" applyBorder="1"/>
    <xf numFmtId="0" fontId="38" fillId="0" borderId="49" xfId="0" applyFont="1" applyBorder="1" applyAlignment="1">
      <alignment wrapText="1"/>
    </xf>
    <xf numFmtId="0" fontId="38" fillId="0" borderId="50" xfId="0" applyFont="1" applyBorder="1" applyAlignment="1">
      <alignment wrapText="1"/>
    </xf>
    <xf numFmtId="0" fontId="38" fillId="0" borderId="51" xfId="0" applyFont="1" applyBorder="1" applyAlignment="1">
      <alignment wrapText="1"/>
    </xf>
    <xf numFmtId="0" fontId="0" fillId="0" borderId="52" xfId="0" applyBorder="1"/>
    <xf numFmtId="2" fontId="0" fillId="0" borderId="0" xfId="0" applyNumberFormat="1" applyBorder="1"/>
    <xf numFmtId="2" fontId="0" fillId="0" borderId="53" xfId="0" applyNumberFormat="1" applyBorder="1"/>
    <xf numFmtId="0" fontId="0" fillId="0" borderId="53" xfId="0" applyBorder="1"/>
    <xf numFmtId="0" fontId="38" fillId="0" borderId="54" xfId="0" applyFont="1" applyBorder="1"/>
    <xf numFmtId="2" fontId="38" fillId="0" borderId="55" xfId="0" applyNumberFormat="1" applyFont="1" applyBorder="1"/>
    <xf numFmtId="2" fontId="38" fillId="0" borderId="56" xfId="0" applyNumberFormat="1" applyFont="1" applyBorder="1"/>
    <xf numFmtId="0" fontId="41" fillId="24" borderId="0" xfId="0" applyFont="1" applyFill="1" applyAlignment="1">
      <alignment readingOrder="1"/>
    </xf>
    <xf numFmtId="0" fontId="43" fillId="26" borderId="42" xfId="0" applyFont="1" applyFill="1" applyBorder="1" applyAlignment="1">
      <alignment readingOrder="1"/>
    </xf>
    <xf numFmtId="0" fontId="33" fillId="26" borderId="43" xfId="0" applyFont="1" applyFill="1" applyBorder="1" applyAlignment="1">
      <alignment readingOrder="1"/>
    </xf>
    <xf numFmtId="0" fontId="0" fillId="26" borderId="43" xfId="0" applyFill="1" applyBorder="1"/>
    <xf numFmtId="0" fontId="45" fillId="0" borderId="4" xfId="0" applyFont="1" applyBorder="1" applyAlignment="1">
      <alignment readingOrder="1"/>
    </xf>
    <xf numFmtId="3" fontId="33" fillId="0" borderId="4" xfId="0" applyNumberFormat="1" applyFont="1" applyBorder="1" applyAlignment="1">
      <alignment readingOrder="1"/>
    </xf>
    <xf numFmtId="0" fontId="43" fillId="26" borderId="42" xfId="0" applyFont="1" applyFill="1" applyBorder="1" applyAlignment="1">
      <alignment wrapText="1" readingOrder="1"/>
    </xf>
    <xf numFmtId="0" fontId="0" fillId="0" borderId="0" xfId="0" applyAlignment="1"/>
    <xf numFmtId="0" fontId="3" fillId="2" borderId="0" xfId="0" applyFont="1" applyFill="1" applyAlignment="1"/>
    <xf numFmtId="0" fontId="5" fillId="2" borderId="0" xfId="0" applyFont="1" applyFill="1" applyAlignment="1"/>
    <xf numFmtId="0" fontId="0" fillId="0" borderId="4" xfId="0" applyBorder="1" applyAlignment="1">
      <alignment wrapText="1"/>
    </xf>
    <xf numFmtId="0" fontId="48" fillId="0" borderId="0" xfId="0" applyFont="1"/>
    <xf numFmtId="0" fontId="47" fillId="0" borderId="0" xfId="0" applyFont="1" applyAlignment="1">
      <alignment wrapText="1"/>
    </xf>
    <xf numFmtId="0" fontId="49" fillId="24" borderId="0" xfId="0" applyFont="1" applyFill="1" applyAlignment="1">
      <alignment readingOrder="1"/>
    </xf>
    <xf numFmtId="0" fontId="50" fillId="24" borderId="0" xfId="0" applyFont="1" applyFill="1" applyAlignment="1">
      <alignment readingOrder="1"/>
    </xf>
    <xf numFmtId="0" fontId="54" fillId="0" borderId="0" xfId="0" applyFont="1"/>
    <xf numFmtId="0" fontId="56" fillId="0" borderId="0" xfId="0" applyFont="1"/>
    <xf numFmtId="0" fontId="57" fillId="0" borderId="0" xfId="0" applyFont="1"/>
    <xf numFmtId="0" fontId="58" fillId="0" borderId="0" xfId="0" applyFont="1"/>
    <xf numFmtId="0" fontId="54" fillId="24" borderId="58" xfId="0" applyFont="1" applyFill="1" applyBorder="1"/>
    <xf numFmtId="3" fontId="54" fillId="24" borderId="58" xfId="0" applyNumberFormat="1" applyFont="1" applyFill="1" applyBorder="1"/>
    <xf numFmtId="0" fontId="0" fillId="24" borderId="59" xfId="0" applyFill="1" applyBorder="1"/>
    <xf numFmtId="0" fontId="54" fillId="24" borderId="59" xfId="0" applyFont="1" applyFill="1" applyBorder="1"/>
    <xf numFmtId="0" fontId="57" fillId="24" borderId="60" xfId="0" applyFont="1" applyFill="1" applyBorder="1"/>
    <xf numFmtId="3" fontId="57" fillId="24" borderId="60" xfId="0" applyNumberFormat="1" applyFont="1" applyFill="1" applyBorder="1"/>
    <xf numFmtId="3" fontId="7" fillId="24" borderId="60" xfId="2" applyNumberFormat="1" applyFont="1" applyFill="1" applyBorder="1"/>
    <xf numFmtId="0" fontId="59" fillId="24" borderId="57" xfId="0" applyFont="1" applyFill="1" applyBorder="1" applyAlignment="1">
      <alignment wrapText="1"/>
    </xf>
    <xf numFmtId="0" fontId="60" fillId="0" borderId="4" xfId="0" applyFont="1" applyBorder="1" applyAlignment="1">
      <alignment readingOrder="1"/>
    </xf>
    <xf numFmtId="3" fontId="45" fillId="0" borderId="4" xfId="0" applyNumberFormat="1" applyFont="1" applyBorder="1" applyAlignment="1">
      <alignment readingOrder="1"/>
    </xf>
    <xf numFmtId="0" fontId="0" fillId="26" borderId="43" xfId="0" applyFill="1" applyBorder="1" applyAlignment="1">
      <alignment wrapText="1"/>
    </xf>
    <xf numFmtId="0" fontId="60" fillId="0" borderId="4" xfId="0" applyFont="1" applyBorder="1" applyAlignment="1">
      <alignment wrapText="1" readingOrder="1"/>
    </xf>
    <xf numFmtId="0" fontId="5" fillId="27" borderId="0" xfId="0" applyFont="1" applyFill="1"/>
    <xf numFmtId="0" fontId="3" fillId="3" borderId="0" xfId="0" applyFont="1" applyFill="1"/>
    <xf numFmtId="0" fontId="14" fillId="0" borderId="4" xfId="0" applyFont="1" applyBorder="1" applyAlignment="1"/>
    <xf numFmtId="0" fontId="61" fillId="20" borderId="44" xfId="0" applyFont="1" applyFill="1" applyBorder="1" applyAlignment="1"/>
    <xf numFmtId="0" fontId="43" fillId="28" borderId="42" xfId="0" applyFont="1" applyFill="1" applyBorder="1" applyAlignment="1">
      <alignment wrapText="1" readingOrder="1"/>
    </xf>
    <xf numFmtId="0" fontId="33" fillId="28" borderId="43" xfId="0" applyFont="1" applyFill="1" applyBorder="1" applyAlignment="1">
      <alignment readingOrder="1"/>
    </xf>
    <xf numFmtId="0" fontId="14" fillId="28" borderId="43" xfId="0" applyFont="1" applyFill="1" applyBorder="1" applyAlignment="1"/>
    <xf numFmtId="0" fontId="14" fillId="17" borderId="0" xfId="0" applyFont="1" applyFill="1" applyBorder="1" applyAlignment="1"/>
    <xf numFmtId="0" fontId="21" fillId="20" borderId="0" xfId="0" applyFont="1" applyFill="1" applyBorder="1" applyAlignment="1"/>
    <xf numFmtId="3" fontId="14" fillId="17" borderId="0" xfId="0" applyNumberFormat="1" applyFont="1" applyFill="1" applyBorder="1" applyAlignment="1"/>
    <xf numFmtId="0" fontId="12" fillId="0" borderId="0" xfId="2" applyBorder="1" applyAlignment="1"/>
    <xf numFmtId="0" fontId="21" fillId="0" borderId="0" xfId="0" applyFont="1" applyBorder="1" applyAlignment="1"/>
    <xf numFmtId="0" fontId="62" fillId="20" borderId="0" xfId="0" applyFont="1" applyFill="1" applyBorder="1" applyAlignment="1"/>
    <xf numFmtId="0" fontId="12" fillId="20" borderId="0" xfId="2" applyFill="1" applyBorder="1" applyAlignment="1"/>
    <xf numFmtId="0" fontId="42" fillId="20" borderId="0" xfId="0" applyFont="1" applyFill="1" applyBorder="1" applyAlignment="1"/>
    <xf numFmtId="0" fontId="15" fillId="20" borderId="44" xfId="0" applyFont="1" applyFill="1" applyBorder="1" applyAlignment="1"/>
    <xf numFmtId="0" fontId="14" fillId="20" borderId="0" xfId="0" quotePrefix="1" applyFont="1" applyFill="1" applyBorder="1" applyAlignment="1"/>
    <xf numFmtId="0" fontId="61" fillId="20" borderId="0" xfId="0" applyFont="1" applyFill="1" applyBorder="1" applyAlignment="1"/>
    <xf numFmtId="0" fontId="63" fillId="20" borderId="0" xfId="0" applyFont="1" applyFill="1" applyBorder="1" applyAlignment="1"/>
    <xf numFmtId="9" fontId="61" fillId="20" borderId="0" xfId="0" applyNumberFormat="1" applyFont="1" applyFill="1" applyBorder="1" applyAlignment="1"/>
    <xf numFmtId="3" fontId="42" fillId="20" borderId="0" xfId="0" applyNumberFormat="1" applyFont="1" applyFill="1" applyBorder="1" applyAlignment="1"/>
    <xf numFmtId="0" fontId="14" fillId="4" borderId="0" xfId="0" applyFont="1" applyFill="1" applyBorder="1" applyAlignment="1"/>
    <xf numFmtId="0" fontId="0" fillId="4" borderId="0" xfId="0" applyFill="1" applyBorder="1"/>
    <xf numFmtId="0" fontId="14" fillId="20" borderId="48" xfId="0" applyFont="1" applyFill="1" applyBorder="1" applyAlignment="1"/>
    <xf numFmtId="0" fontId="14" fillId="20" borderId="47" xfId="0" applyFont="1" applyFill="1" applyBorder="1" applyAlignment="1"/>
    <xf numFmtId="0" fontId="14" fillId="20" borderId="46" xfId="0" applyFont="1" applyFill="1" applyBorder="1" applyAlignment="1"/>
    <xf numFmtId="9" fontId="14" fillId="20" borderId="46" xfId="0" applyNumberFormat="1" applyFont="1" applyFill="1" applyBorder="1" applyAlignment="1"/>
    <xf numFmtId="9" fontId="14" fillId="20" borderId="0" xfId="0" applyNumberFormat="1" applyFont="1" applyFill="1" applyBorder="1" applyAlignment="1"/>
    <xf numFmtId="0" fontId="62" fillId="0" borderId="0" xfId="0" applyFont="1" applyBorder="1" applyAlignment="1"/>
    <xf numFmtId="0" fontId="43" fillId="0" borderId="0" xfId="0" applyFont="1" applyBorder="1" applyAlignment="1">
      <alignment readingOrder="1"/>
    </xf>
    <xf numFmtId="0" fontId="43" fillId="0" borderId="0" xfId="0" applyFont="1" applyBorder="1" applyAlignment="1">
      <alignment wrapText="1" readingOrder="1"/>
    </xf>
    <xf numFmtId="0" fontId="33" fillId="0" borderId="0" xfId="0" applyFont="1" applyBorder="1" applyAlignment="1">
      <alignment readingOrder="1"/>
    </xf>
    <xf numFmtId="0" fontId="60" fillId="0" borderId="0" xfId="0" applyFont="1" applyBorder="1" applyAlignment="1">
      <alignment wrapText="1" readingOrder="1"/>
    </xf>
    <xf numFmtId="0" fontId="45" fillId="0" borderId="0" xfId="0" applyFont="1" applyBorder="1" applyAlignment="1">
      <alignment readingOrder="1"/>
    </xf>
    <xf numFmtId="0" fontId="29" fillId="0" borderId="0" xfId="0" applyFont="1"/>
    <xf numFmtId="0" fontId="4" fillId="24" borderId="0" xfId="0" applyFont="1" applyFill="1" applyAlignment="1">
      <alignment wrapText="1" readingOrder="1"/>
    </xf>
    <xf numFmtId="0" fontId="12" fillId="24" borderId="0" xfId="2" applyFill="1" applyAlignment="1">
      <alignment wrapText="1" readingOrder="1"/>
    </xf>
    <xf numFmtId="0" fontId="66" fillId="26" borderId="42" xfId="0" applyFont="1" applyFill="1" applyBorder="1"/>
    <xf numFmtId="0" fontId="66" fillId="26" borderId="42" xfId="0" applyFont="1" applyFill="1" applyBorder="1" applyAlignment="1">
      <alignment wrapText="1"/>
    </xf>
    <xf numFmtId="0" fontId="65" fillId="26" borderId="43" xfId="0" applyFont="1" applyFill="1" applyBorder="1"/>
    <xf numFmtId="0" fontId="68" fillId="0" borderId="4" xfId="0" applyFont="1" applyBorder="1" applyAlignment="1">
      <alignment wrapText="1"/>
    </xf>
    <xf numFmtId="0" fontId="69" fillId="0" borderId="4" xfId="0" applyFont="1" applyBorder="1" applyAlignment="1">
      <alignment wrapText="1"/>
    </xf>
    <xf numFmtId="0" fontId="48" fillId="0" borderId="4" xfId="0" applyFont="1" applyBorder="1"/>
    <xf numFmtId="0" fontId="70" fillId="0" borderId="61" xfId="0" applyFont="1" applyBorder="1" applyAlignment="1">
      <alignment readingOrder="1"/>
    </xf>
    <xf numFmtId="0" fontId="70" fillId="0" borderId="62" xfId="0" applyFont="1" applyBorder="1" applyAlignment="1">
      <alignment readingOrder="1"/>
    </xf>
    <xf numFmtId="0" fontId="70" fillId="0" borderId="63" xfId="0" applyFont="1" applyBorder="1" applyAlignment="1">
      <alignment readingOrder="1"/>
    </xf>
    <xf numFmtId="14" fontId="71" fillId="0" borderId="64" xfId="0" applyNumberFormat="1" applyFont="1" applyBorder="1" applyAlignment="1">
      <alignment readingOrder="1"/>
    </xf>
    <xf numFmtId="0" fontId="70" fillId="0" borderId="65" xfId="0" applyFont="1" applyBorder="1" applyAlignment="1">
      <alignment readingOrder="1"/>
    </xf>
    <xf numFmtId="0" fontId="70" fillId="0" borderId="66" xfId="0" applyFont="1" applyBorder="1" applyAlignment="1">
      <alignment readingOrder="1"/>
    </xf>
    <xf numFmtId="0" fontId="70" fillId="0" borderId="67" xfId="0" applyFont="1" applyBorder="1" applyAlignment="1">
      <alignment readingOrder="1"/>
    </xf>
    <xf numFmtId="0" fontId="70" fillId="0" borderId="68" xfId="0" applyFont="1" applyBorder="1" applyAlignment="1">
      <alignment readingOrder="1"/>
    </xf>
    <xf numFmtId="0" fontId="72" fillId="0" borderId="69" xfId="0" applyFont="1" applyBorder="1" applyAlignment="1">
      <alignment readingOrder="1"/>
    </xf>
    <xf numFmtId="0" fontId="72" fillId="0" borderId="70" xfId="0" applyFont="1" applyBorder="1" applyAlignment="1">
      <alignment readingOrder="1"/>
    </xf>
    <xf numFmtId="0" fontId="70" fillId="0" borderId="64" xfId="0" applyFont="1" applyBorder="1" applyAlignment="1">
      <alignment readingOrder="1"/>
    </xf>
    <xf numFmtId="0" fontId="73" fillId="0" borderId="65" xfId="0" applyFont="1" applyBorder="1" applyAlignment="1">
      <alignment readingOrder="1"/>
    </xf>
    <xf numFmtId="9" fontId="73" fillId="0" borderId="65" xfId="0" applyNumberFormat="1" applyFont="1" applyBorder="1" applyAlignment="1">
      <alignment readingOrder="1"/>
    </xf>
    <xf numFmtId="0" fontId="73" fillId="0" borderId="65" xfId="0" applyFont="1" applyBorder="1" applyAlignment="1">
      <alignment wrapText="1" readingOrder="1"/>
    </xf>
    <xf numFmtId="10" fontId="73" fillId="0" borderId="65" xfId="0" applyNumberFormat="1" applyFont="1" applyBorder="1" applyAlignment="1">
      <alignment wrapText="1" readingOrder="1"/>
    </xf>
    <xf numFmtId="9" fontId="73" fillId="0" borderId="65" xfId="0" applyNumberFormat="1" applyFont="1" applyBorder="1" applyAlignment="1">
      <alignment wrapText="1" readingOrder="1"/>
    </xf>
    <xf numFmtId="3" fontId="73" fillId="0" borderId="65" xfId="0" applyNumberFormat="1" applyFont="1" applyBorder="1" applyAlignment="1">
      <alignment readingOrder="1"/>
    </xf>
    <xf numFmtId="0" fontId="70" fillId="24" borderId="65" xfId="0" applyFont="1" applyFill="1" applyBorder="1" applyAlignment="1">
      <alignment readingOrder="1"/>
    </xf>
    <xf numFmtId="10" fontId="73" fillId="0" borderId="65" xfId="0" applyNumberFormat="1" applyFont="1" applyBorder="1" applyAlignment="1">
      <alignment readingOrder="1"/>
    </xf>
    <xf numFmtId="0" fontId="70" fillId="0" borderId="68" xfId="0" applyFont="1" applyBorder="1" applyAlignment="1">
      <alignment wrapText="1" readingOrder="1"/>
    </xf>
    <xf numFmtId="0" fontId="46" fillId="24" borderId="68" xfId="0" applyFont="1" applyFill="1" applyBorder="1" applyAlignment="1">
      <alignment wrapText="1" readingOrder="1"/>
    </xf>
    <xf numFmtId="0" fontId="70" fillId="29" borderId="70" xfId="0" applyFont="1" applyFill="1" applyBorder="1" applyAlignment="1">
      <alignment wrapText="1" readingOrder="1"/>
    </xf>
    <xf numFmtId="0" fontId="74" fillId="29" borderId="70" xfId="0" applyFont="1" applyFill="1" applyBorder="1" applyAlignment="1">
      <alignment wrapText="1" readingOrder="1"/>
    </xf>
    <xf numFmtId="3" fontId="70" fillId="0" borderId="65" xfId="0" applyNumberFormat="1" applyFont="1" applyBorder="1" applyAlignment="1">
      <alignment readingOrder="1"/>
    </xf>
    <xf numFmtId="0" fontId="70" fillId="30" borderId="64" xfId="0" applyFont="1" applyFill="1" applyBorder="1" applyAlignment="1">
      <alignment readingOrder="1"/>
    </xf>
    <xf numFmtId="0" fontId="70" fillId="0" borderId="70" xfId="0" applyFont="1" applyBorder="1" applyAlignment="1">
      <alignment readingOrder="1"/>
    </xf>
    <xf numFmtId="0" fontId="70" fillId="31" borderId="64" xfId="0" applyFont="1" applyFill="1" applyBorder="1" applyAlignment="1">
      <alignment readingOrder="1"/>
    </xf>
    <xf numFmtId="0" fontId="72" fillId="0" borderId="65" xfId="0" applyFont="1" applyBorder="1" applyAlignment="1">
      <alignment readingOrder="1"/>
    </xf>
    <xf numFmtId="0" fontId="72" fillId="0" borderId="66" xfId="0" applyFont="1" applyBorder="1" applyAlignment="1">
      <alignment readingOrder="1"/>
    </xf>
    <xf numFmtId="0" fontId="72" fillId="0" borderId="68" xfId="0" applyFont="1" applyBorder="1" applyAlignment="1">
      <alignment readingOrder="1"/>
    </xf>
    <xf numFmtId="1" fontId="72" fillId="0" borderId="68" xfId="0" applyNumberFormat="1" applyFont="1" applyBorder="1" applyAlignment="1">
      <alignment readingOrder="1"/>
    </xf>
    <xf numFmtId="0" fontId="75" fillId="24" borderId="71" xfId="0" applyFont="1" applyFill="1" applyBorder="1" applyAlignment="1">
      <alignment readingOrder="1"/>
    </xf>
    <xf numFmtId="0" fontId="76" fillId="0" borderId="72" xfId="0" applyFont="1" applyBorder="1"/>
    <xf numFmtId="0" fontId="76" fillId="0" borderId="73" xfId="0" applyFont="1" applyBorder="1"/>
    <xf numFmtId="0" fontId="50" fillId="24" borderId="33" xfId="0" applyFont="1" applyFill="1" applyBorder="1" applyAlignment="1">
      <alignment readingOrder="1"/>
    </xf>
    <xf numFmtId="3" fontId="50" fillId="24" borderId="3" xfId="0" applyNumberFormat="1" applyFont="1" applyFill="1" applyBorder="1" applyAlignment="1">
      <alignment readingOrder="1"/>
    </xf>
    <xf numFmtId="0" fontId="50" fillId="24" borderId="3" xfId="0" applyFont="1" applyFill="1" applyBorder="1" applyAlignment="1">
      <alignment readingOrder="1"/>
    </xf>
    <xf numFmtId="1" fontId="50" fillId="24" borderId="74" xfId="0" applyNumberFormat="1" applyFont="1" applyFill="1" applyBorder="1" applyAlignment="1">
      <alignment readingOrder="1"/>
    </xf>
    <xf numFmtId="0" fontId="50" fillId="24" borderId="3" xfId="0" quotePrefix="1" applyFont="1" applyFill="1" applyBorder="1" applyAlignment="1">
      <alignment readingOrder="1"/>
    </xf>
    <xf numFmtId="0" fontId="50" fillId="24" borderId="75" xfId="0" applyFont="1" applyFill="1" applyBorder="1" applyAlignment="1">
      <alignment readingOrder="1"/>
    </xf>
    <xf numFmtId="0" fontId="50" fillId="24" borderId="76" xfId="0" applyFont="1" applyFill="1" applyBorder="1" applyAlignment="1">
      <alignment readingOrder="1"/>
    </xf>
    <xf numFmtId="1" fontId="75" fillId="24" borderId="77" xfId="0" applyNumberFormat="1" applyFont="1" applyFill="1" applyBorder="1" applyAlignment="1">
      <alignment readingOrder="1"/>
    </xf>
    <xf numFmtId="1" fontId="7" fillId="0" borderId="77" xfId="0" applyNumberFormat="1" applyFont="1" applyBorder="1"/>
    <xf numFmtId="0" fontId="75" fillId="24" borderId="0" xfId="0" applyFont="1" applyFill="1" applyAlignment="1">
      <alignment readingOrder="1"/>
    </xf>
    <xf numFmtId="0" fontId="77" fillId="0" borderId="33" xfId="0" applyFont="1" applyBorder="1"/>
    <xf numFmtId="1" fontId="77" fillId="0" borderId="74" xfId="0" applyNumberFormat="1" applyFont="1" applyBorder="1"/>
    <xf numFmtId="0" fontId="77" fillId="0" borderId="75" xfId="0" applyFont="1" applyBorder="1"/>
    <xf numFmtId="1" fontId="79" fillId="0" borderId="77" xfId="0" applyNumberFormat="1" applyFont="1" applyBorder="1"/>
    <xf numFmtId="1" fontId="78" fillId="0" borderId="4" xfId="0" applyNumberFormat="1" applyFont="1" applyBorder="1"/>
    <xf numFmtId="0" fontId="77" fillId="0" borderId="78" xfId="0" applyFont="1" applyBorder="1"/>
    <xf numFmtId="3" fontId="77" fillId="0" borderId="79" xfId="0" applyNumberFormat="1" applyFont="1" applyBorder="1"/>
    <xf numFmtId="2" fontId="0" fillId="26" borderId="43" xfId="0" applyNumberFormat="1" applyFill="1" applyBorder="1"/>
    <xf numFmtId="2" fontId="69" fillId="0" borderId="4" xfId="0" applyNumberFormat="1" applyFont="1" applyBorder="1" applyAlignment="1">
      <alignment wrapText="1"/>
    </xf>
    <xf numFmtId="0" fontId="51" fillId="32" borderId="80" xfId="0" applyFont="1" applyFill="1" applyBorder="1" applyAlignment="1">
      <alignment horizontal="center" vertical="center" wrapText="1"/>
    </xf>
    <xf numFmtId="0" fontId="0" fillId="33" borderId="81" xfId="0" applyFill="1" applyBorder="1"/>
    <xf numFmtId="3" fontId="0" fillId="33" borderId="81" xfId="0" applyNumberFormat="1" applyFill="1" applyBorder="1"/>
    <xf numFmtId="165" fontId="0" fillId="33" borderId="81" xfId="0" applyNumberFormat="1" applyFill="1" applyBorder="1"/>
    <xf numFmtId="164" fontId="0" fillId="33" borderId="81" xfId="0" applyNumberFormat="1" applyFill="1" applyBorder="1"/>
    <xf numFmtId="165" fontId="0" fillId="33" borderId="81" xfId="3" applyNumberFormat="1" applyFont="1" applyFill="1" applyBorder="1"/>
    <xf numFmtId="0" fontId="0" fillId="34" borderId="82" xfId="0" applyFill="1" applyBorder="1"/>
    <xf numFmtId="0" fontId="53" fillId="34" borderId="83" xfId="0" applyFont="1" applyFill="1" applyBorder="1"/>
    <xf numFmtId="0" fontId="0" fillId="33" borderId="84" xfId="0" applyFill="1" applyBorder="1"/>
    <xf numFmtId="3" fontId="0" fillId="33" borderId="84" xfId="0" applyNumberFormat="1" applyFill="1" applyBorder="1"/>
    <xf numFmtId="165" fontId="0" fillId="33" borderId="84" xfId="0" applyNumberFormat="1" applyFill="1" applyBorder="1"/>
    <xf numFmtId="164" fontId="0" fillId="33" borderId="84" xfId="0" applyNumberFormat="1" applyFill="1" applyBorder="1"/>
    <xf numFmtId="0" fontId="0" fillId="34" borderId="85" xfId="0" applyFill="1" applyBorder="1"/>
    <xf numFmtId="166" fontId="0" fillId="34" borderId="86" xfId="0" applyNumberFormat="1" applyFill="1" applyBorder="1"/>
    <xf numFmtId="0" fontId="53" fillId="34" borderId="87" xfId="0" applyFont="1" applyFill="1" applyBorder="1"/>
    <xf numFmtId="0" fontId="0" fillId="34" borderId="86" xfId="0" applyFill="1" applyBorder="1"/>
    <xf numFmtId="9" fontId="0" fillId="34" borderId="86" xfId="1" applyFont="1" applyFill="1" applyBorder="1"/>
    <xf numFmtId="167" fontId="0" fillId="34" borderId="86" xfId="1" applyNumberFormat="1" applyFont="1" applyFill="1" applyBorder="1"/>
    <xf numFmtId="0" fontId="80" fillId="32" borderId="88" xfId="0" applyFont="1" applyFill="1" applyBorder="1"/>
    <xf numFmtId="3" fontId="80" fillId="32" borderId="81" xfId="0" applyNumberFormat="1" applyFont="1" applyFill="1" applyBorder="1"/>
    <xf numFmtId="0" fontId="80" fillId="32" borderId="81" xfId="0" applyFont="1" applyFill="1" applyBorder="1"/>
    <xf numFmtId="165" fontId="80" fillId="32" borderId="81" xfId="0" applyNumberFormat="1" applyFont="1" applyFill="1" applyBorder="1"/>
    <xf numFmtId="164" fontId="80" fillId="32" borderId="81" xfId="0" applyNumberFormat="1" applyFont="1" applyFill="1" applyBorder="1"/>
    <xf numFmtId="0" fontId="81" fillId="0" borderId="0" xfId="0" applyFont="1"/>
    <xf numFmtId="165" fontId="0" fillId="0" borderId="0" xfId="0" applyNumberFormat="1"/>
    <xf numFmtId="0" fontId="82" fillId="24" borderId="0" xfId="0" applyFont="1" applyFill="1" applyAlignment="1">
      <alignment wrapText="1"/>
    </xf>
    <xf numFmtId="0" fontId="0" fillId="24" borderId="0" xfId="0" applyFill="1"/>
    <xf numFmtId="0" fontId="12" fillId="24" borderId="0" xfId="2" applyFill="1" applyAlignment="1">
      <alignment wrapText="1"/>
    </xf>
    <xf numFmtId="0" fontId="83" fillId="24" borderId="0" xfId="0" applyFont="1" applyFill="1" applyAlignment="1">
      <alignment wrapText="1"/>
    </xf>
    <xf numFmtId="0" fontId="4" fillId="24" borderId="0" xfId="0" applyFont="1" applyFill="1" applyAlignment="1">
      <alignment wrapText="1"/>
    </xf>
    <xf numFmtId="0" fontId="85" fillId="24" borderId="0" xfId="0" applyFont="1" applyFill="1" applyAlignment="1">
      <alignment wrapText="1"/>
    </xf>
    <xf numFmtId="0" fontId="46" fillId="0" borderId="0" xfId="0" applyFont="1" applyAlignment="1">
      <alignment wrapText="1"/>
    </xf>
    <xf numFmtId="0" fontId="5" fillId="0" borderId="0" xfId="0" applyFont="1"/>
    <xf numFmtId="168" fontId="0" fillId="0" borderId="0" xfId="0" applyNumberFormat="1" applyAlignment="1">
      <alignment horizontal="center"/>
    </xf>
    <xf numFmtId="0" fontId="0" fillId="5" borderId="3" xfId="0" applyFill="1" applyBorder="1"/>
    <xf numFmtId="44" fontId="0" fillId="5" borderId="3" xfId="3" applyFont="1" applyFill="1" applyBorder="1"/>
    <xf numFmtId="0" fontId="0" fillId="5" borderId="3" xfId="3" applyNumberFormat="1" applyFont="1" applyFill="1" applyBorder="1"/>
    <xf numFmtId="0" fontId="12" fillId="5" borderId="89" xfId="2" applyFill="1" applyBorder="1"/>
    <xf numFmtId="0" fontId="12" fillId="0" borderId="0" xfId="2"/>
    <xf numFmtId="0" fontId="89" fillId="35" borderId="0" xfId="0" applyFont="1" applyFill="1" applyAlignment="1">
      <alignment horizontal="left"/>
    </xf>
    <xf numFmtId="0" fontId="90" fillId="35" borderId="0" xfId="0" applyFont="1" applyFill="1" applyAlignment="1">
      <alignment horizontal="left"/>
    </xf>
    <xf numFmtId="0" fontId="91" fillId="27" borderId="0" xfId="0" applyFont="1" applyFill="1"/>
    <xf numFmtId="0" fontId="0" fillId="0" borderId="0" xfId="0" applyAlignment="1">
      <alignment vertical="top" wrapText="1"/>
    </xf>
    <xf numFmtId="0" fontId="0" fillId="0" borderId="0" xfId="0" applyAlignment="1">
      <alignment vertical="top"/>
    </xf>
    <xf numFmtId="0" fontId="93" fillId="0" borderId="0" xfId="5" applyFill="1" applyBorder="1" applyAlignment="1" applyProtection="1">
      <alignment horizontal="left"/>
    </xf>
    <xf numFmtId="0" fontId="94" fillId="36" borderId="0" xfId="0" applyFont="1" applyFill="1"/>
    <xf numFmtId="0" fontId="0" fillId="36" borderId="0" xfId="0" applyFill="1"/>
    <xf numFmtId="0" fontId="96" fillId="0" borderId="0" xfId="0" applyFont="1" applyAlignment="1">
      <alignment horizontal="right"/>
    </xf>
    <xf numFmtId="1" fontId="96" fillId="35" borderId="0" xfId="0" applyNumberFormat="1" applyFont="1" applyFill="1" applyAlignment="1">
      <alignment horizontal="center" wrapText="1"/>
    </xf>
    <xf numFmtId="3" fontId="7" fillId="0" borderId="0" xfId="0" applyNumberFormat="1" applyFont="1" applyAlignment="1">
      <alignment horizontal="center" wrapText="1"/>
    </xf>
    <xf numFmtId="0" fontId="7" fillId="0" borderId="0" xfId="0" applyFont="1" applyAlignment="1">
      <alignment wrapText="1"/>
    </xf>
    <xf numFmtId="0" fontId="7" fillId="0" borderId="3" xfId="0" applyFont="1" applyBorder="1" applyAlignment="1">
      <alignment horizontal="center" wrapText="1"/>
    </xf>
    <xf numFmtId="1" fontId="0" fillId="0" borderId="0" xfId="0" applyNumberFormat="1"/>
    <xf numFmtId="0" fontId="48" fillId="0" borderId="0" xfId="0" applyFont="1" applyAlignment="1">
      <alignment horizontal="left" wrapText="1" indent="3"/>
    </xf>
    <xf numFmtId="3" fontId="48" fillId="38" borderId="46" xfId="0" applyNumberFormat="1" applyFont="1" applyFill="1" applyBorder="1" applyAlignment="1">
      <alignment horizontal="center" wrapText="1"/>
    </xf>
    <xf numFmtId="9" fontId="48" fillId="0" borderId="23" xfId="1" applyFont="1" applyFill="1" applyBorder="1" applyAlignment="1">
      <alignment horizontal="center" wrapText="1"/>
    </xf>
    <xf numFmtId="164" fontId="48" fillId="37" borderId="46" xfId="0" applyNumberFormat="1" applyFont="1" applyFill="1" applyBorder="1" applyAlignment="1">
      <alignment horizontal="center" wrapText="1"/>
    </xf>
    <xf numFmtId="164" fontId="48" fillId="37" borderId="0" xfId="0" applyNumberFormat="1" applyFont="1" applyFill="1" applyAlignment="1">
      <alignment horizontal="center" wrapText="1"/>
    </xf>
    <xf numFmtId="164" fontId="48" fillId="39" borderId="23" xfId="0" applyNumberFormat="1" applyFont="1" applyFill="1" applyBorder="1" applyAlignment="1">
      <alignment horizontal="center" wrapText="1"/>
    </xf>
    <xf numFmtId="3" fontId="48" fillId="0" borderId="46" xfId="0" applyNumberFormat="1" applyFont="1" applyBorder="1" applyAlignment="1">
      <alignment horizontal="center" wrapText="1"/>
    </xf>
    <xf numFmtId="164" fontId="48" fillId="0" borderId="46" xfId="0" applyNumberFormat="1" applyFont="1" applyBorder="1" applyAlignment="1">
      <alignment horizontal="center" wrapText="1"/>
    </xf>
    <xf numFmtId="164" fontId="48" fillId="0" borderId="0" xfId="0" applyNumberFormat="1" applyFont="1" applyAlignment="1">
      <alignment horizontal="center" wrapText="1"/>
    </xf>
    <xf numFmtId="164" fontId="48" fillId="0" borderId="23" xfId="0" applyNumberFormat="1" applyFont="1" applyBorder="1" applyAlignment="1">
      <alignment horizontal="center" wrapText="1"/>
    </xf>
    <xf numFmtId="9" fontId="48" fillId="38" borderId="23" xfId="1" applyFont="1" applyFill="1" applyBorder="1" applyAlignment="1">
      <alignment horizontal="center" wrapText="1"/>
    </xf>
    <xf numFmtId="164" fontId="48" fillId="37" borderId="46" xfId="0" applyNumberFormat="1" applyFont="1" applyFill="1" applyBorder="1" applyAlignment="1">
      <alignment horizontal="center"/>
    </xf>
    <xf numFmtId="164" fontId="48" fillId="37" borderId="0" xfId="0" applyNumberFormat="1" applyFont="1" applyFill="1" applyAlignment="1">
      <alignment horizontal="center"/>
    </xf>
    <xf numFmtId="164" fontId="48" fillId="39" borderId="23" xfId="0" applyNumberFormat="1" applyFont="1" applyFill="1" applyBorder="1" applyAlignment="1">
      <alignment horizontal="center"/>
    </xf>
    <xf numFmtId="3" fontId="48" fillId="38" borderId="47" xfId="0" applyNumberFormat="1" applyFont="1" applyFill="1" applyBorder="1" applyAlignment="1">
      <alignment horizontal="center" wrapText="1"/>
    </xf>
    <xf numFmtId="9" fontId="48" fillId="0" borderId="15" xfId="1" applyFont="1" applyFill="1" applyBorder="1" applyAlignment="1">
      <alignment horizontal="center" wrapText="1"/>
    </xf>
    <xf numFmtId="164" fontId="48" fillId="37" borderId="47" xfId="0" applyNumberFormat="1" applyFont="1" applyFill="1" applyBorder="1" applyAlignment="1">
      <alignment horizontal="center" wrapText="1"/>
    </xf>
    <xf numFmtId="164" fontId="48" fillId="37" borderId="48" xfId="0" applyNumberFormat="1" applyFont="1" applyFill="1" applyBorder="1" applyAlignment="1">
      <alignment horizontal="center" wrapText="1"/>
    </xf>
    <xf numFmtId="164" fontId="48" fillId="39" borderId="15" xfId="0" applyNumberFormat="1" applyFont="1" applyFill="1" applyBorder="1" applyAlignment="1">
      <alignment horizontal="center" wrapText="1"/>
    </xf>
    <xf numFmtId="3" fontId="48" fillId="0" borderId="0" xfId="0" applyNumberFormat="1" applyFont="1"/>
    <xf numFmtId="164" fontId="48" fillId="0" borderId="0" xfId="0" applyNumberFormat="1" applyFont="1" applyAlignment="1">
      <alignment horizontal="center"/>
    </xf>
    <xf numFmtId="4" fontId="7" fillId="0" borderId="0" xfId="0" applyNumberFormat="1" applyFont="1" applyAlignment="1">
      <alignment horizontal="center" wrapText="1"/>
    </xf>
    <xf numFmtId="164" fontId="97" fillId="40" borderId="0" xfId="0" applyNumberFormat="1" applyFont="1" applyFill="1" applyAlignment="1">
      <alignment horizontal="center" wrapText="1"/>
    </xf>
    <xf numFmtId="0" fontId="96" fillId="0" borderId="0" xfId="0" applyFont="1"/>
    <xf numFmtId="3" fontId="48" fillId="0" borderId="0" xfId="0" applyNumberFormat="1" applyFont="1" applyAlignment="1">
      <alignment horizontal="center"/>
    </xf>
    <xf numFmtId="0" fontId="96" fillId="36" borderId="0" xfId="0" applyFont="1" applyFill="1"/>
    <xf numFmtId="0" fontId="1" fillId="0" borderId="0" xfId="0" applyFont="1"/>
    <xf numFmtId="3" fontId="48" fillId="0" borderId="0" xfId="0" applyNumberFormat="1" applyFont="1" applyAlignment="1">
      <alignment vertical="center"/>
    </xf>
    <xf numFmtId="170" fontId="98" fillId="0" borderId="0" xfId="4" applyNumberFormat="1" applyFont="1" applyFill="1" applyBorder="1" applyAlignment="1">
      <alignment horizontal="center" vertical="center"/>
    </xf>
    <xf numFmtId="0" fontId="48" fillId="0" borderId="0" xfId="0" applyFont="1" applyAlignment="1">
      <alignment vertical="center"/>
    </xf>
    <xf numFmtId="0" fontId="93" fillId="0" borderId="0" xfId="5" applyFill="1" applyAlignment="1" applyProtection="1"/>
    <xf numFmtId="0" fontId="91" fillId="0" borderId="0" xfId="0" applyFont="1"/>
    <xf numFmtId="0" fontId="99" fillId="0" borderId="0" xfId="0" applyFont="1"/>
    <xf numFmtId="171" fontId="99" fillId="0" borderId="0" xfId="0" applyNumberFormat="1" applyFont="1"/>
    <xf numFmtId="172" fontId="99" fillId="0" borderId="0" xfId="0" applyNumberFormat="1" applyFont="1"/>
    <xf numFmtId="169" fontId="91" fillId="0" borderId="0" xfId="0" applyNumberFormat="1" applyFont="1"/>
    <xf numFmtId="0" fontId="97" fillId="39" borderId="0" xfId="0" applyFont="1" applyFill="1" applyAlignment="1">
      <alignment horizontal="left" wrapText="1"/>
    </xf>
    <xf numFmtId="0" fontId="97" fillId="39" borderId="0" xfId="0" applyFont="1" applyFill="1" applyAlignment="1">
      <alignment horizontal="right" wrapText="1"/>
    </xf>
    <xf numFmtId="0" fontId="91" fillId="0" borderId="0" xfId="0" applyFont="1" applyAlignment="1">
      <alignment wrapText="1"/>
    </xf>
    <xf numFmtId="0" fontId="0" fillId="37" borderId="0" xfId="0" applyFill="1" applyAlignment="1">
      <alignment horizontal="right"/>
    </xf>
    <xf numFmtId="0" fontId="91" fillId="0" borderId="0" xfId="0" applyFont="1" applyAlignment="1">
      <alignment horizontal="left"/>
    </xf>
    <xf numFmtId="0" fontId="101" fillId="0" borderId="0" xfId="0" applyFont="1" applyAlignment="1">
      <alignment horizontal="right"/>
    </xf>
    <xf numFmtId="171" fontId="101" fillId="0" borderId="0" xfId="0" applyNumberFormat="1" applyFont="1" applyAlignment="1">
      <alignment horizontal="right"/>
    </xf>
    <xf numFmtId="11" fontId="91" fillId="0" borderId="0" xfId="0" applyNumberFormat="1" applyFont="1" applyAlignment="1">
      <alignment horizontal="right"/>
    </xf>
    <xf numFmtId="0" fontId="91" fillId="0" borderId="0" xfId="0" applyFont="1" applyAlignment="1">
      <alignment horizontal="right"/>
    </xf>
    <xf numFmtId="166" fontId="91" fillId="0" borderId="0" xfId="0" applyNumberFormat="1" applyFont="1" applyAlignment="1">
      <alignment horizontal="right"/>
    </xf>
    <xf numFmtId="0" fontId="102" fillId="0" borderId="0" xfId="0" applyFont="1" applyAlignment="1">
      <alignment horizontal="left"/>
    </xf>
    <xf numFmtId="0" fontId="90" fillId="39" borderId="0" xfId="0" applyFont="1" applyFill="1" applyAlignment="1">
      <alignment horizontal="right" wrapText="1"/>
    </xf>
    <xf numFmtId="0" fontId="0" fillId="37" borderId="0" xfId="0" applyFill="1"/>
    <xf numFmtId="173" fontId="91" fillId="0" borderId="0" xfId="0" applyNumberFormat="1" applyFont="1" applyAlignment="1">
      <alignment horizontal="right"/>
    </xf>
    <xf numFmtId="174" fontId="91" fillId="0" borderId="0" xfId="0" applyNumberFormat="1" applyFont="1" applyAlignment="1">
      <alignment horizontal="right"/>
    </xf>
    <xf numFmtId="171" fontId="91" fillId="0" borderId="0" xfId="0" applyNumberFormat="1" applyFont="1" applyAlignment="1">
      <alignment horizontal="right"/>
    </xf>
    <xf numFmtId="0" fontId="102" fillId="0" borderId="0" xfId="0" applyFont="1"/>
    <xf numFmtId="173" fontId="0" fillId="0" borderId="0" xfId="0" applyNumberFormat="1" applyAlignment="1">
      <alignment horizontal="right"/>
    </xf>
    <xf numFmtId="173" fontId="0" fillId="0" borderId="0" xfId="4" applyNumberFormat="1" applyFont="1" applyBorder="1"/>
    <xf numFmtId="173" fontId="0" fillId="0" borderId="23" xfId="4" applyNumberFormat="1" applyFont="1" applyBorder="1"/>
    <xf numFmtId="173" fontId="5" fillId="0" borderId="0" xfId="4" applyNumberFormat="1" applyFont="1" applyBorder="1"/>
    <xf numFmtId="0" fontId="0" fillId="0" borderId="48" xfId="0" applyBorder="1"/>
    <xf numFmtId="0" fontId="0" fillId="0" borderId="15" xfId="0" applyBorder="1"/>
    <xf numFmtId="0" fontId="97" fillId="11" borderId="0" xfId="0" applyFont="1" applyFill="1"/>
    <xf numFmtId="10" fontId="97" fillId="11" borderId="0" xfId="1" applyNumberFormat="1" applyFont="1" applyFill="1" applyBorder="1"/>
    <xf numFmtId="175" fontId="91" fillId="0" borderId="0" xfId="4" applyNumberFormat="1" applyFont="1" applyFill="1" applyBorder="1"/>
    <xf numFmtId="0" fontId="93" fillId="0" borderId="0" xfId="5" applyAlignment="1" applyProtection="1"/>
    <xf numFmtId="0" fontId="91" fillId="0" borderId="0" xfId="6" applyFont="1" applyAlignment="1">
      <alignment wrapText="1"/>
    </xf>
    <xf numFmtId="0" fontId="99" fillId="0" borderId="0" xfId="6" applyFont="1" applyAlignment="1">
      <alignment horizontal="left"/>
    </xf>
    <xf numFmtId="4" fontId="97" fillId="0" borderId="0" xfId="0" applyNumberFormat="1" applyFont="1"/>
    <xf numFmtId="0" fontId="90" fillId="41" borderId="0" xfId="0" applyFont="1" applyFill="1" applyAlignment="1">
      <alignment horizontal="center" vertical="center"/>
    </xf>
    <xf numFmtId="0" fontId="90" fillId="41" borderId="0" xfId="0" applyFont="1" applyFill="1" applyAlignment="1">
      <alignment horizontal="center" vertical="center" wrapText="1"/>
    </xf>
    <xf numFmtId="176" fontId="97" fillId="0" borderId="0" xfId="3" applyNumberFormat="1" applyFont="1" applyFill="1" applyBorder="1" applyAlignment="1">
      <alignment horizontal="center"/>
    </xf>
    <xf numFmtId="177" fontId="0" fillId="0" borderId="0" xfId="0" applyNumberFormat="1"/>
    <xf numFmtId="176" fontId="91" fillId="0" borderId="0" xfId="3" applyNumberFormat="1" applyFont="1" applyFill="1" applyBorder="1" applyAlignment="1">
      <alignment horizontal="center"/>
    </xf>
    <xf numFmtId="164" fontId="96" fillId="0" borderId="0" xfId="0" applyNumberFormat="1" applyFont="1" applyFill="1" applyAlignment="1">
      <alignment horizontal="center" wrapText="1"/>
    </xf>
    <xf numFmtId="0" fontId="104" fillId="0" borderId="0" xfId="0" applyFont="1" applyAlignment="1">
      <alignment horizontal="left"/>
    </xf>
    <xf numFmtId="3" fontId="107" fillId="0" borderId="46" xfId="0" applyNumberFormat="1" applyFont="1" applyBorder="1" applyAlignment="1">
      <alignment horizontal="center" wrapText="1"/>
    </xf>
    <xf numFmtId="0" fontId="108" fillId="0" borderId="90" xfId="0" applyFont="1" applyBorder="1" applyAlignment="1">
      <alignment wrapText="1"/>
    </xf>
    <xf numFmtId="0" fontId="5" fillId="12" borderId="0" xfId="0" applyFont="1" applyFill="1"/>
    <xf numFmtId="0" fontId="5" fillId="0" borderId="4" xfId="0" applyFont="1" applyBorder="1"/>
    <xf numFmtId="0" fontId="5" fillId="0" borderId="4" xfId="0" applyFont="1" applyBorder="1" applyAlignment="1">
      <alignment wrapText="1"/>
    </xf>
    <xf numFmtId="0" fontId="12" fillId="0" borderId="0" xfId="2" applyAlignment="1"/>
    <xf numFmtId="0" fontId="15" fillId="0" borderId="4" xfId="0" applyFont="1" applyBorder="1" applyAlignment="1"/>
    <xf numFmtId="1" fontId="5" fillId="0" borderId="4" xfId="0" applyNumberFormat="1" applyFont="1" applyBorder="1"/>
    <xf numFmtId="1" fontId="9" fillId="0" borderId="11" xfId="0" applyNumberFormat="1" applyFont="1" applyBorder="1" applyAlignment="1">
      <alignment wrapText="1"/>
    </xf>
    <xf numFmtId="1" fontId="9" fillId="0" borderId="12" xfId="0" applyNumberFormat="1" applyFont="1" applyBorder="1" applyAlignment="1">
      <alignment wrapText="1"/>
    </xf>
    <xf numFmtId="0" fontId="9" fillId="24" borderId="0" xfId="0" applyFont="1" applyFill="1" applyAlignment="1">
      <alignment wrapText="1"/>
    </xf>
    <xf numFmtId="0" fontId="12" fillId="0" borderId="0" xfId="2" applyAlignment="1">
      <alignment wrapText="1"/>
    </xf>
    <xf numFmtId="0" fontId="32" fillId="24" borderId="0" xfId="0" applyFont="1" applyFill="1" applyAlignment="1">
      <alignment wrapText="1" readingOrder="1"/>
    </xf>
    <xf numFmtId="0" fontId="29" fillId="0" borderId="0" xfId="0" applyFont="1" applyAlignment="1">
      <alignment wrapText="1"/>
    </xf>
    <xf numFmtId="0" fontId="33" fillId="24" borderId="0" xfId="0" applyFont="1" applyFill="1" applyAlignment="1">
      <alignment wrapText="1" readingOrder="1"/>
    </xf>
    <xf numFmtId="0" fontId="34" fillId="24" borderId="4" xfId="0" applyFont="1" applyFill="1" applyBorder="1" applyAlignment="1">
      <alignment wrapText="1" readingOrder="1"/>
    </xf>
    <xf numFmtId="0" fontId="35" fillId="24" borderId="42" xfId="0" applyFont="1" applyFill="1" applyBorder="1" applyAlignment="1">
      <alignment wrapText="1" readingOrder="1"/>
    </xf>
    <xf numFmtId="0" fontId="0" fillId="24" borderId="43" xfId="0" applyFill="1" applyBorder="1" applyAlignment="1">
      <alignment wrapText="1"/>
    </xf>
    <xf numFmtId="0" fontId="4" fillId="0" borderId="0" xfId="0" applyFont="1" applyAlignment="1">
      <alignment wrapText="1" readingOrder="1"/>
    </xf>
    <xf numFmtId="1" fontId="72" fillId="0" borderId="65" xfId="0" applyNumberFormat="1" applyFont="1" applyBorder="1" applyAlignment="1">
      <alignment readingOrder="1"/>
    </xf>
    <xf numFmtId="165" fontId="109" fillId="32" borderId="81" xfId="3" applyNumberFormat="1" applyFont="1" applyFill="1" applyBorder="1"/>
    <xf numFmtId="0" fontId="109" fillId="32" borderId="0" xfId="0" applyFont="1" applyFill="1"/>
    <xf numFmtId="0" fontId="109" fillId="32" borderId="80" xfId="0" applyFont="1" applyFill="1" applyBorder="1"/>
    <xf numFmtId="0" fontId="14" fillId="0" borderId="0" xfId="0" applyFont="1" applyFill="1" applyBorder="1" applyAlignment="1"/>
    <xf numFmtId="0" fontId="15" fillId="0" borderId="13" xfId="0" applyFont="1" applyFill="1" applyBorder="1" applyAlignment="1"/>
    <xf numFmtId="0" fontId="14" fillId="0" borderId="0" xfId="0" applyFont="1" applyBorder="1" applyAlignment="1"/>
    <xf numFmtId="0" fontId="15" fillId="0" borderId="13" xfId="0" applyFont="1" applyBorder="1" applyAlignment="1"/>
    <xf numFmtId="0" fontId="0" fillId="0" borderId="0" xfId="0" applyAlignment="1">
      <alignment horizontal="left" indent="2"/>
    </xf>
    <xf numFmtId="3" fontId="7" fillId="0" borderId="3" xfId="0" applyNumberFormat="1" applyFont="1" applyBorder="1" applyAlignment="1">
      <alignment horizontal="center" wrapText="1"/>
    </xf>
    <xf numFmtId="0" fontId="6" fillId="0" borderId="0" xfId="0" applyFont="1" applyAlignment="1">
      <alignment horizontal="left" wrapText="1"/>
    </xf>
    <xf numFmtId="0" fontId="0" fillId="0" borderId="0" xfId="0" applyAlignment="1">
      <alignment horizontal="left" wrapText="1" indent="3"/>
    </xf>
    <xf numFmtId="0" fontId="90" fillId="41" borderId="0" xfId="0" applyFont="1" applyFill="1" applyAlignment="1">
      <alignment horizontal="left"/>
    </xf>
    <xf numFmtId="9" fontId="0" fillId="11" borderId="47" xfId="1" applyFont="1" applyFill="1" applyBorder="1" applyAlignment="1">
      <alignment horizontal="center"/>
    </xf>
    <xf numFmtId="9" fontId="0" fillId="11" borderId="15" xfId="1" applyFont="1" applyFill="1" applyBorder="1" applyAlignment="1">
      <alignment horizontal="center"/>
    </xf>
    <xf numFmtId="0" fontId="0" fillId="25" borderId="30" xfId="0" applyFill="1" applyBorder="1" applyAlignment="1">
      <alignment horizontal="center"/>
    </xf>
    <xf numFmtId="0" fontId="0" fillId="25" borderId="31" xfId="0" applyFill="1" applyBorder="1" applyAlignment="1">
      <alignment horizontal="center"/>
    </xf>
    <xf numFmtId="0" fontId="0" fillId="25" borderId="32" xfId="0" applyFill="1" applyBorder="1" applyAlignment="1">
      <alignment horizontal="center"/>
    </xf>
    <xf numFmtId="0" fontId="0" fillId="11" borderId="41" xfId="0" applyFill="1" applyBorder="1" applyAlignment="1">
      <alignment horizontal="center"/>
    </xf>
    <xf numFmtId="0" fontId="0" fillId="11" borderId="44" xfId="0" applyFill="1" applyBorder="1" applyAlignment="1">
      <alignment horizontal="center"/>
    </xf>
    <xf numFmtId="0" fontId="0" fillId="11" borderId="45" xfId="0" applyFill="1" applyBorder="1" applyAlignment="1">
      <alignment horizontal="center"/>
    </xf>
    <xf numFmtId="2" fontId="38" fillId="0" borderId="46" xfId="0" applyNumberFormat="1" applyFont="1" applyBorder="1" applyAlignment="1">
      <alignment horizontal="center"/>
    </xf>
    <xf numFmtId="0" fontId="38" fillId="0" borderId="23" xfId="0" applyFont="1" applyBorder="1" applyAlignment="1">
      <alignment horizontal="center"/>
    </xf>
    <xf numFmtId="2" fontId="38" fillId="0" borderId="23" xfId="0" applyNumberFormat="1" applyFont="1" applyBorder="1" applyAlignment="1">
      <alignment horizontal="center"/>
    </xf>
    <xf numFmtId="0" fontId="0" fillId="22" borderId="5" xfId="0" applyFill="1" applyBorder="1" applyAlignment="1">
      <alignment horizontal="center"/>
    </xf>
    <xf numFmtId="0" fontId="0" fillId="22" borderId="16" xfId="0" applyFill="1" applyBorder="1" applyAlignment="1">
      <alignment horizontal="center"/>
    </xf>
    <xf numFmtId="0" fontId="0" fillId="22" borderId="13" xfId="0" applyFill="1" applyBorder="1" applyAlignment="1">
      <alignment horizontal="center"/>
    </xf>
    <xf numFmtId="0" fontId="15" fillId="21" borderId="35" xfId="0" applyFont="1" applyFill="1" applyBorder="1" applyAlignment="1">
      <alignment textRotation="90" wrapText="1"/>
    </xf>
    <xf numFmtId="0" fontId="15" fillId="21" borderId="34" xfId="0" applyFont="1" applyFill="1" applyBorder="1" applyAlignment="1">
      <alignment textRotation="90" wrapText="1"/>
    </xf>
    <xf numFmtId="0" fontId="15" fillId="21" borderId="32" xfId="0" applyFont="1" applyFill="1" applyBorder="1" applyAlignment="1">
      <alignment textRotation="90" wrapText="1"/>
    </xf>
    <xf numFmtId="0" fontId="14" fillId="0" borderId="0" xfId="0" applyFont="1" applyFill="1" applyBorder="1" applyAlignment="1"/>
    <xf numFmtId="0" fontId="15" fillId="0" borderId="5" xfId="0" applyFont="1" applyFill="1" applyBorder="1" applyAlignment="1"/>
    <xf numFmtId="0" fontId="15" fillId="0" borderId="13" xfId="0" applyFont="1" applyFill="1" applyBorder="1" applyAlignment="1"/>
    <xf numFmtId="0" fontId="17" fillId="0" borderId="5" xfId="0" applyFont="1" applyFill="1" applyBorder="1" applyAlignment="1"/>
    <xf numFmtId="0" fontId="17" fillId="0" borderId="16" xfId="0" applyFont="1" applyFill="1" applyBorder="1" applyAlignment="1"/>
    <xf numFmtId="0" fontId="17" fillId="0" borderId="17" xfId="0" applyFont="1" applyFill="1" applyBorder="1" applyAlignment="1"/>
    <xf numFmtId="0" fontId="18" fillId="0" borderId="18" xfId="0" applyFont="1" applyFill="1" applyBorder="1" applyAlignment="1"/>
    <xf numFmtId="0" fontId="18" fillId="0" borderId="19" xfId="0" applyFont="1" applyFill="1" applyBorder="1" applyAlignment="1"/>
    <xf numFmtId="0" fontId="18" fillId="0" borderId="20" xfId="0" applyFont="1" applyFill="1" applyBorder="1" applyAlignment="1"/>
    <xf numFmtId="0" fontId="19" fillId="0" borderId="5" xfId="0" applyFont="1" applyFill="1" applyBorder="1" applyAlignment="1"/>
    <xf numFmtId="0" fontId="19" fillId="0" borderId="16" xfId="0" applyFont="1" applyFill="1" applyBorder="1" applyAlignment="1"/>
    <xf numFmtId="0" fontId="19" fillId="0" borderId="17" xfId="0" applyFont="1" applyFill="1" applyBorder="1" applyAlignment="1"/>
    <xf numFmtId="0" fontId="14" fillId="0" borderId="0" xfId="0" applyFont="1" applyBorder="1" applyAlignment="1"/>
    <xf numFmtId="0" fontId="15" fillId="0" borderId="5" xfId="0" applyFont="1" applyBorder="1" applyAlignment="1"/>
    <xf numFmtId="0" fontId="15" fillId="0" borderId="13" xfId="0" applyFont="1" applyBorder="1" applyAlignment="1"/>
    <xf numFmtId="0" fontId="17" fillId="0" borderId="5" xfId="0" applyFont="1" applyBorder="1" applyAlignment="1"/>
    <xf numFmtId="0" fontId="17" fillId="0" borderId="16" xfId="0" applyFont="1" applyBorder="1" applyAlignment="1"/>
    <xf numFmtId="0" fontId="18" fillId="0" borderId="5" xfId="0" applyFont="1" applyBorder="1" applyAlignment="1"/>
    <xf numFmtId="0" fontId="18" fillId="0" borderId="16" xfId="0" applyFont="1" applyBorder="1" applyAlignment="1"/>
    <xf numFmtId="0" fontId="19" fillId="0" borderId="5" xfId="0" applyFont="1" applyBorder="1" applyAlignment="1"/>
    <xf numFmtId="0" fontId="19" fillId="0" borderId="16" xfId="0" applyFont="1" applyBorder="1" applyAlignment="1"/>
    <xf numFmtId="0" fontId="0" fillId="0" borderId="0" xfId="0" applyAlignment="1">
      <alignment horizontal="left" indent="2"/>
    </xf>
    <xf numFmtId="3" fontId="7" fillId="0" borderId="3" xfId="0" applyNumberFormat="1" applyFont="1" applyBorder="1" applyAlignment="1">
      <alignment horizontal="center" wrapText="1"/>
    </xf>
    <xf numFmtId="0" fontId="0" fillId="0" borderId="3" xfId="0" applyBorder="1" applyAlignment="1">
      <alignment horizontal="center" wrapText="1"/>
    </xf>
    <xf numFmtId="0" fontId="6" fillId="0" borderId="0" xfId="0" applyFont="1" applyAlignment="1">
      <alignment horizontal="left" wrapText="1"/>
    </xf>
    <xf numFmtId="0" fontId="92" fillId="0" borderId="0" xfId="0" applyFont="1" applyAlignment="1">
      <alignment horizontal="left"/>
    </xf>
    <xf numFmtId="0" fontId="0" fillId="0" borderId="0" xfId="0" applyAlignment="1">
      <alignment horizontal="left" wrapText="1" indent="3"/>
    </xf>
    <xf numFmtId="0" fontId="90" fillId="41" borderId="0" xfId="0" applyFont="1" applyFill="1" applyAlignment="1">
      <alignment horizontal="left"/>
    </xf>
    <xf numFmtId="0" fontId="5" fillId="0" borderId="4" xfId="0" applyFont="1" applyBorder="1" applyAlignment="1">
      <alignment horizontal="left" wrapText="1"/>
    </xf>
    <xf numFmtId="0" fontId="47" fillId="0" borderId="0" xfId="0" applyFont="1" applyAlignment="1">
      <alignment horizontal="left" wrapText="1"/>
    </xf>
  </cellXfs>
  <cellStyles count="7">
    <cellStyle name="Comma" xfId="4" builtinId="3"/>
    <cellStyle name="Currency" xfId="3" builtinId="4"/>
    <cellStyle name="Hyperlink" xfId="2" builtinId="8"/>
    <cellStyle name="Hyperlink 2" xfId="5"/>
    <cellStyle name="Normal" xfId="0" builtinId="0"/>
    <cellStyle name="Normal_5 - Reference Data" xfId="6"/>
    <cellStyle name="Percent" xfId="1" builtinId="5"/>
  </cellStyles>
  <dxfs count="2">
    <dxf>
      <numFmt numFmtId="168" formatCode="&quot;$&quot;#,##0.00"/>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Medium9"/>
  <colors>
    <mruColors>
      <color rgb="FFC88DF2"/>
      <color rgb="FFE72C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editAs="oneCell">
    <xdr:from>
      <xdr:col>0</xdr:col>
      <xdr:colOff>2343150</xdr:colOff>
      <xdr:row>21</xdr:row>
      <xdr:rowOff>47625</xdr:rowOff>
    </xdr:from>
    <xdr:to>
      <xdr:col>0</xdr:col>
      <xdr:colOff>6915150</xdr:colOff>
      <xdr:row>36</xdr:row>
      <xdr:rowOff>47625</xdr:rowOff>
    </xdr:to>
    <xdr:pic>
      <xdr:nvPicPr>
        <xdr:cNvPr id="2" name="Picture 1">
          <a:extLst>
            <a:ext uri="{FF2B5EF4-FFF2-40B4-BE49-F238E27FC236}">
              <a16:creationId xmlns:a16="http://schemas.microsoft.com/office/drawing/2014/main" id="{0DBCE73D-6C76-11EC-DDE8-F08E361743E0}"/>
            </a:ext>
          </a:extLst>
        </xdr:cNvPr>
        <xdr:cNvPicPr>
          <a:picLocks noChangeAspect="1"/>
        </xdr:cNvPicPr>
      </xdr:nvPicPr>
      <xdr:blipFill>
        <a:blip xmlns:r="http://schemas.openxmlformats.org/officeDocument/2006/relationships" r:embed="rId1"/>
        <a:stretch>
          <a:fillRect/>
        </a:stretch>
      </xdr:blipFill>
      <xdr:spPr>
        <a:xfrm>
          <a:off x="2343150" y="2971800"/>
          <a:ext cx="4572000" cy="2857500"/>
        </a:xfrm>
        <a:prstGeom prst="rect">
          <a:avLst/>
        </a:prstGeom>
      </xdr:spPr>
    </xdr:pic>
    <xdr:clientData/>
  </xdr:twoCellAnchor>
  <xdr:twoCellAnchor editAs="oneCell">
    <xdr:from>
      <xdr:col>0</xdr:col>
      <xdr:colOff>990600</xdr:colOff>
      <xdr:row>10</xdr:row>
      <xdr:rowOff>9525</xdr:rowOff>
    </xdr:from>
    <xdr:to>
      <xdr:col>0</xdr:col>
      <xdr:colOff>8286750</xdr:colOff>
      <xdr:row>20</xdr:row>
      <xdr:rowOff>66675</xdr:rowOff>
    </xdr:to>
    <xdr:pic>
      <xdr:nvPicPr>
        <xdr:cNvPr id="4" name="Picture 3">
          <a:extLst>
            <a:ext uri="{FF2B5EF4-FFF2-40B4-BE49-F238E27FC236}">
              <a16:creationId xmlns:a16="http://schemas.microsoft.com/office/drawing/2014/main" id="{19E946ED-04BA-F24F-5158-EA8FD9661885}"/>
            </a:ext>
            <a:ext uri="{147F2762-F138-4A5C-976F-8EAC2B608ADB}">
              <a16:predDERef xmlns:a16="http://schemas.microsoft.com/office/drawing/2014/main" pred="{0DBCE73D-6C76-11EC-DDE8-F08E361743E0}"/>
            </a:ext>
          </a:extLst>
        </xdr:cNvPr>
        <xdr:cNvPicPr>
          <a:picLocks noChangeAspect="1"/>
        </xdr:cNvPicPr>
      </xdr:nvPicPr>
      <xdr:blipFill>
        <a:blip xmlns:r="http://schemas.openxmlformats.org/officeDocument/2006/relationships" r:embed="rId2"/>
        <a:stretch>
          <a:fillRect/>
        </a:stretch>
      </xdr:blipFill>
      <xdr:spPr>
        <a:xfrm>
          <a:off x="990600" y="4476750"/>
          <a:ext cx="7296150" cy="1962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161925</xdr:colOff>
      <xdr:row>12</xdr:row>
      <xdr:rowOff>85725</xdr:rowOff>
    </xdr:from>
    <xdr:to>
      <xdr:col>3</xdr:col>
      <xdr:colOff>1016000</xdr:colOff>
      <xdr:row>17</xdr:row>
      <xdr:rowOff>134474</xdr:rowOff>
    </xdr:to>
    <xdr:pic>
      <xdr:nvPicPr>
        <xdr:cNvPr id="3" name="Picture 2">
          <a:extLst>
            <a:ext uri="{FF2B5EF4-FFF2-40B4-BE49-F238E27FC236}">
              <a16:creationId xmlns:a16="http://schemas.microsoft.com/office/drawing/2014/main" id="{AB387516-6554-4B5A-95BB-6D58E9490F8B}"/>
            </a:ext>
            <a:ext uri="{147F2762-F138-4A5C-976F-8EAC2B608ADB}">
              <a16:predDERef xmlns:a16="http://schemas.microsoft.com/office/drawing/2014/main" pred="{1966F5F4-3DCA-E87E-711A-A4D7D0D2811C}"/>
            </a:ext>
          </a:extLst>
        </xdr:cNvPr>
        <xdr:cNvPicPr>
          <a:picLocks noChangeAspect="1"/>
        </xdr:cNvPicPr>
      </xdr:nvPicPr>
      <xdr:blipFill>
        <a:blip xmlns:r="http://schemas.openxmlformats.org/officeDocument/2006/relationships" r:embed="rId1"/>
        <a:stretch>
          <a:fillRect/>
        </a:stretch>
      </xdr:blipFill>
      <xdr:spPr>
        <a:xfrm>
          <a:off x="1381125" y="3171825"/>
          <a:ext cx="4121150" cy="10488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1181100</xdr:colOff>
      <xdr:row>1</xdr:row>
      <xdr:rowOff>152400</xdr:rowOff>
    </xdr:to>
    <xdr:pic>
      <xdr:nvPicPr>
        <xdr:cNvPr id="2" name="Picture 1">
          <a:extLst>
            <a:ext uri="{FF2B5EF4-FFF2-40B4-BE49-F238E27FC236}">
              <a16:creationId xmlns:a16="http://schemas.microsoft.com/office/drawing/2014/main" id="{622E26BC-713F-7A29-889F-A72A080A7DBA}"/>
            </a:ext>
          </a:extLst>
        </xdr:cNvPr>
        <xdr:cNvPicPr>
          <a:picLocks noChangeAspect="1"/>
        </xdr:cNvPicPr>
      </xdr:nvPicPr>
      <xdr:blipFill>
        <a:blip xmlns:r="http://schemas.openxmlformats.org/officeDocument/2006/relationships" r:embed="rId1"/>
        <a:stretch>
          <a:fillRect/>
        </a:stretch>
      </xdr:blipFill>
      <xdr:spPr>
        <a:xfrm>
          <a:off x="0" y="0"/>
          <a:ext cx="1181100" cy="342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nend461_ecy_wa_gov/Documents/Attachments/Copy%20of%20simple%20emission%20calculator%2002%2002%202024%20(Autosave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nend461_ecy_wa_gov/Documents/Attachments/PCAP%20Tribal%20Clean%20Energy%20Grant%20assump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erence"/>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CY ERE Reference"/>
    </sheetNames>
    <sheetDataSet>
      <sheetData sheetId="0"/>
    </sheetDataSet>
  </externalBook>
</externalLink>
</file>

<file path=xl/tables/table1.xml><?xml version="1.0" encoding="utf-8"?>
<table xmlns="http://schemas.openxmlformats.org/spreadsheetml/2006/main" id="1" name="Table1" displayName="Table1" ref="A6:E10" totalsRowShown="0" headerRowDxfId="1">
  <autoFilter ref="A6:E10"/>
  <tableColumns count="5">
    <tableColumn id="1" name="Program"/>
    <tableColumn id="2" name="Project"/>
    <tableColumn id="3" name="Solar (kW)"/>
    <tableColumn id="4" name="Cost" dataDxfId="0"/>
    <tableColumn id="5" name="Storage (kWh)"/>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3" Type="http://schemas.openxmlformats.org/officeDocument/2006/relationships/hyperlink" Target="https://www.ecfr.gov/current/title-40/chapter-I/subchapter-C/part-98/subpart-A/appendix-Table%20A-2%20to%20Subpart%20A%20of%20Part%2098" TargetMode="External"/><Relationship Id="rId2" Type="http://schemas.openxmlformats.org/officeDocument/2006/relationships/hyperlink" Target="https://www.epa.gov/greenvehicles/greenhouse-gas-emissions-typical-passenger-vehicle" TargetMode="External"/><Relationship Id="rId1" Type="http://schemas.openxmlformats.org/officeDocument/2006/relationships/hyperlink" Target="https://www.epa.gov/energy/greenhouse-gases-equivalencies-calculator-calculations-and-references" TargetMode="External"/><Relationship Id="rId5" Type="http://schemas.openxmlformats.org/officeDocument/2006/relationships/hyperlink" Target="https://ecocostsavings.com/electric-car-kwh-per-mile-list/" TargetMode="External"/><Relationship Id="rId4" Type="http://schemas.openxmlformats.org/officeDocument/2006/relationships/hyperlink" Target="https://static.spokanecity.org/documents/publicworks/environmental/2019-city-of-spokane-greenhouse-gas-inventory.pdf"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www.ecfr.gov/current/title-40/chapter-I/subchapter-C/part-98/subpart-A/appendix-Table%20A-2%20to%20Subpart%20A%20of%20Part%2098" TargetMode="External"/><Relationship Id="rId3" Type="http://schemas.openxmlformats.org/officeDocument/2006/relationships/hyperlink" Target="https://www.epa.gov/energy/greenhouse-gases-equivalencies-calculator-calculations-and-references" TargetMode="External"/><Relationship Id="rId7" Type="http://schemas.openxmlformats.org/officeDocument/2006/relationships/hyperlink" Target="https://www.ecfr.gov/current/title-40/chapter-I/subchapter-C/part-98/subpart-A/appendix-Table%20A-2%20to%20Subpart%20A%20of%20Part%2098" TargetMode="External"/><Relationship Id="rId2" Type="http://schemas.openxmlformats.org/officeDocument/2006/relationships/hyperlink" Target="https://www.epa.gov/energy/greenhouse-gases-equivalencies-calculator-calculations-and-references" TargetMode="External"/><Relationship Id="rId1" Type="http://schemas.openxmlformats.org/officeDocument/2006/relationships/hyperlink" Target="https://insideevs.com/news/584918/ford-f150-lightning-epa-range-efficiency/" TargetMode="External"/><Relationship Id="rId6" Type="http://schemas.openxmlformats.org/officeDocument/2006/relationships/hyperlink" Target="https://static.spokanecity.org/documents/publicworks/environmental/2019-city-of-spokane-greenhouse-gas-inventory.pdf" TargetMode="External"/><Relationship Id="rId5" Type="http://schemas.openxmlformats.org/officeDocument/2006/relationships/hyperlink" Target="https://static.spokanecity.org/documents/publicworks/environmental/2019-city-of-spokane-greenhouse-gas-inventory.pdf" TargetMode="External"/><Relationship Id="rId4" Type="http://schemas.openxmlformats.org/officeDocument/2006/relationships/hyperlink" Target="https://static.spokanecity.org/documents/publicworks/environmental/2019-city-of-spokane-greenhouse-gas-inventory.pdf" TargetMode="External"/></Relationships>
</file>

<file path=xl/worksheets/_rels/sheet18.xml.rels><?xml version="1.0" encoding="UTF-8" standalone="yes"?>
<Relationships xmlns="http://schemas.openxmlformats.org/package/2006/relationships"><Relationship Id="rId2" Type="http://schemas.openxmlformats.org/officeDocument/2006/relationships/hyperlink" Target="https://www.epa.gov/avert/avert-web-edition" TargetMode="External"/><Relationship Id="rId1" Type="http://schemas.openxmlformats.org/officeDocument/2006/relationships/hyperlink" Target="https://www.epa.gov/avert/avert-web-edition" TargetMode="External"/></Relationships>
</file>

<file path=xl/worksheets/_rels/sheet19.xml.rels><?xml version="1.0" encoding="UTF-8" standalone="yes"?>
<Relationships xmlns="http://schemas.openxmlformats.org/package/2006/relationships"><Relationship Id="rId3" Type="http://schemas.openxmlformats.org/officeDocument/2006/relationships/hyperlink" Target="https://www.epa.gov/statelocalenergy/quantifying-multiple-benefits-energy-efficiency-and-renewable-energy-guide-state" TargetMode="External"/><Relationship Id="rId2" Type="http://schemas.openxmlformats.org/officeDocument/2006/relationships/hyperlink" Target="https://www.epa.gov/avert/avert-web-edition" TargetMode="External"/><Relationship Id="rId1" Type="http://schemas.openxmlformats.org/officeDocument/2006/relationships/hyperlink" Target="https://www.epa.gov/energy/greenhouse-gas-equivalencies-calculator" TargetMode="External"/><Relationship Id="rId4" Type="http://schemas.openxmlformats.org/officeDocument/2006/relationships/hyperlink" Target="https://des.wa.gov/services/facilities-leasing/energy-program/resource-conservation-management-program" TargetMode="External"/></Relationships>
</file>

<file path=xl/worksheets/_rels/sheet20.xml.rels><?xml version="1.0" encoding="UTF-8" standalone="yes"?>
<Relationships xmlns="http://schemas.openxmlformats.org/package/2006/relationships"><Relationship Id="rId2" Type="http://schemas.openxmlformats.org/officeDocument/2006/relationships/hyperlink" Target="https://www.epa.gov/energy/greenhouse-gases-equivalencies-calculator-calculations-and-references" TargetMode="External"/><Relationship Id="rId1" Type="http://schemas.openxmlformats.org/officeDocument/2006/relationships/hyperlink" Target="https://www.epa.gov/energy/greenhouse-gases-equivalencies-calculator-calculations-and-references" TargetMode="External"/></Relationships>
</file>

<file path=xl/worksheets/_rels/sheet21.xml.rels><?xml version="1.0" encoding="UTF-8" standalone="yes"?>
<Relationships xmlns="http://schemas.openxmlformats.org/package/2006/relationships"><Relationship Id="rId3" Type="http://schemas.openxmlformats.org/officeDocument/2006/relationships/hyperlink" Target="https://www.epa.gov/energy/greenhouse-gases-equivalencies-calculator-calculations-and-references" TargetMode="External"/><Relationship Id="rId2" Type="http://schemas.openxmlformats.org/officeDocument/2006/relationships/hyperlink" Target="https://www.epa.gov/energy/greenhouse-gases-equivalencies-calculator-calculations-and-references" TargetMode="External"/><Relationship Id="rId1" Type="http://schemas.openxmlformats.org/officeDocument/2006/relationships/hyperlink" Target="https://insideevs.com/news/584918/ford-f150-lightning-epa-range-efficiency/" TargetMode="External"/><Relationship Id="rId4" Type="http://schemas.openxmlformats.org/officeDocument/2006/relationships/hyperlink" Target="https://www.bpa.gov/-/media/Aep/about/publications/fact-sheets/fs-201901-The-carbon-free-footprint-of-BPA-hydropower-supply.PDF" TargetMode="External"/></Relationships>
</file>

<file path=xl/worksheets/_rels/sheet2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hyperlink" Target="https://www.epa.gov/avert/avert-web-edition" TargetMode="External"/><Relationship Id="rId1" Type="http://schemas.openxmlformats.org/officeDocument/2006/relationships/hyperlink" Target="https://www.epa.gov/avert/avert-web-edition" TargetMode="External"/></Relationships>
</file>

<file path=xl/worksheets/_rels/sheet25.xml.rels><?xml version="1.0" encoding="UTF-8" standalone="yes"?>
<Relationships xmlns="http://schemas.openxmlformats.org/package/2006/relationships"><Relationship Id="rId3" Type="http://schemas.openxmlformats.org/officeDocument/2006/relationships/hyperlink" Target="https://www.epa.gov/statelocalenergy/quantifying-multiple-benefits-energy-efficiency-and-renewable-energy-guide-state" TargetMode="External"/><Relationship Id="rId2" Type="http://schemas.openxmlformats.org/officeDocument/2006/relationships/hyperlink" Target="https://www.epa.gov/avert/avert-web-edition" TargetMode="External"/><Relationship Id="rId1" Type="http://schemas.openxmlformats.org/officeDocument/2006/relationships/hyperlink" Target="https://www.epa.gov/energy/greenhouse-gas-equivalencies-calculator" TargetMode="External"/><Relationship Id="rId4" Type="http://schemas.openxmlformats.org/officeDocument/2006/relationships/hyperlink" Target="https://des.wa.gov/services/facilities-leasing/energy-program/resource-conservation-management-program" TargetMode="External"/></Relationships>
</file>

<file path=xl/worksheets/_rels/sheet26.xml.rels><?xml version="1.0" encoding="UTF-8" standalone="yes"?>
<Relationships xmlns="http://schemas.openxmlformats.org/package/2006/relationships"><Relationship Id="rId2" Type="http://schemas.openxmlformats.org/officeDocument/2006/relationships/hyperlink" Target="https://www.epa.gov/energy/greenhouse-gases-equivalencies-calculator-calculations-and-references" TargetMode="External"/><Relationship Id="rId1" Type="http://schemas.openxmlformats.org/officeDocument/2006/relationships/hyperlink" Target="https://www.epa.gov/energy/greenhouse-gases-equivalencies-calculator-calculations-and-references" TargetMode="Externa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hyperlink" Target="https://www.epa.gov/energy/greenhouse-gases-equivalencies-calculator-calculations-and-references" TargetMode="External"/><Relationship Id="rId1" Type="http://schemas.openxmlformats.org/officeDocument/2006/relationships/hyperlink" Target="https://www.bts.gov/content/estimated-national-average-vehicle-emissions-rates-vehicle-vehicle-type-using-gasoline-and" TargetMode="External"/></Relationships>
</file>

<file path=xl/worksheets/_rels/sheet30.xml.rels><?xml version="1.0" encoding="UTF-8" standalone="yes"?>
<Relationships xmlns="http://schemas.openxmlformats.org/package/2006/relationships"><Relationship Id="rId3" Type="http://schemas.openxmlformats.org/officeDocument/2006/relationships/hyperlink" Target="https://gcc02.safelinks.protection.outlook.com/?url=https%3A%2F%2Fwww.epa.gov%2Fenergy%2Fgreenhouse-gases-equivalencies-calculator-calculations-and-references&amp;data=05%7C02%7Cnend461%40ECY.WA.GOV%7C9bca499cf499420b194408dc431ba7fe%7C11d0e217264e400a8ba057dcc127d72d%7C0%7C0%7C638459034198051543%7CUnknown%7CTWFpbGZsb3d8eyJWIjoiMC4wLjAwMDAiLCJQIjoiV2luMzIiLCJBTiI6Ik1haWwiLCJXVCI6Mn0%3D%7C0%7C%7C%7C&amp;sdata=lLUELgjX5wzGoZTmnfjrteT3DfZURSyen%2BSx7cR5HGQ%3D&amp;reserved=0" TargetMode="External"/><Relationship Id="rId2" Type="http://schemas.openxmlformats.org/officeDocument/2006/relationships/hyperlink" Target="https://gcc02.safelinks.protection.outlook.com/?url=https%3A%2F%2Fsoftware.trane.com%2FRightNow%2F0128-TRACEProgramDifferences%2FTRACE700.pdf&amp;data=05%7C02%7Cnend461%40ECY.WA.GOV%7C9bca499cf499420b194408dc431ba7fe%7C11d0e217264e400a8ba057dcc127d72d%7C0%7C0%7C638459034198044219%7CUnknown%7CTWFpbGZsb3d8eyJWIjoiMC4wLjAwMDAiLCJQIjoiV2luMzIiLCJBTiI6Ik1haWwiLCJXVCI6Mn0%3D%7C0%7C%7C%7C&amp;sdata=alPgrHOkllQxVhgh9d%2B0f%2FiAt87xCPLkWb8xHRQtYFg%3D&amp;reserved=0" TargetMode="External"/><Relationship Id="rId1" Type="http://schemas.openxmlformats.org/officeDocument/2006/relationships/hyperlink" Target="https://gcc02.safelinks.protection.outlook.com/?url=https%3A%2F%2Fsoftware.trane.com%2FCDS%2FTRACE%2520700%2520-%2520Users%2520Manual.pdf&amp;data=05%7C02%7Cnend461%40ECY.WA.GOV%7C9bca499cf499420b194408dc431ba7fe%7C11d0e217264e400a8ba057dcc127d72d%7C0%7C0%7C638459034198034829%7CUnknown%7CTWFpbGZsb3d8eyJWIjoiMC4wLjAwMDAiLCJQIjoiV2luMzIiLCJBTiI6Ik1haWwiLCJXVCI6Mn0%3D%7C0%7C%7C%7C&amp;sdata=rJr554GZILWG0Zd80aGfO3zIJb4ZQ4W%2BpUlzBhrfNC4%3D&amp;reserved=0" TargetMode="External"/><Relationship Id="rId4" Type="http://schemas.openxmlformats.org/officeDocument/2006/relationships/hyperlink" Target="https://gcc02.safelinks.protection.outlook.com/?url=https%3A%2F%2Fwww.epa.gov%2Fsystem%2Ffiles%2Fdocuments%2F2023-01%2FeGRID2021_summary_tables.xlsx&amp;data=05%7C02%7Cnend461%40ECY.WA.GOV%7C9bca499cf499420b194408dc431ba7fe%7C11d0e217264e400a8ba057dcc127d72d%7C0%7C0%7C638459034198057409%7CUnknown%7CTWFpbGZsb3d8eyJWIjoiMC4wLjAwMDAiLCJQIjoiV2luMzIiLCJBTiI6Ik1haWwiLCJXVCI6Mn0%3D%7C0%7C%7C%7C&amp;sdata=DTZSld9kAHjEJWP74atrIWQGJ9xi%2FhNLiWj2jcE%2BadU%3D&amp;reserved=0" TargetMode="Externa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72CF5"/>
  </sheetPr>
  <dimension ref="A1:A36"/>
  <sheetViews>
    <sheetView tabSelected="1" topLeftCell="A10" workbookViewId="0">
      <selection activeCell="A2" sqref="A2"/>
    </sheetView>
  </sheetViews>
  <sheetFormatPr defaultRowHeight="15"/>
  <cols>
    <col min="1" max="1" width="148.42578125" customWidth="1"/>
  </cols>
  <sheetData>
    <row r="1" spans="1:1" ht="18.75">
      <c r="A1" s="1" t="s">
        <v>0</v>
      </c>
    </row>
    <row r="2" spans="1:1" ht="150">
      <c r="A2" s="2" t="s">
        <v>1</v>
      </c>
    </row>
    <row r="5" spans="1:1">
      <c r="A5" s="285" t="s">
        <v>2</v>
      </c>
    </row>
    <row r="6" spans="1:1" ht="75">
      <c r="A6" s="7" t="s">
        <v>3</v>
      </c>
    </row>
    <row r="9" spans="1:1">
      <c r="A9" s="286" t="s">
        <v>4</v>
      </c>
    </row>
    <row r="23" spans="1:1">
      <c r="A23" s="3"/>
    </row>
    <row r="24" spans="1:1">
      <c r="A24" s="3"/>
    </row>
    <row r="25" spans="1:1">
      <c r="A25" s="3"/>
    </row>
    <row r="26" spans="1:1">
      <c r="A26" s="3"/>
    </row>
    <row r="27" spans="1:1">
      <c r="A27" s="3"/>
    </row>
    <row r="28" spans="1:1">
      <c r="A28" s="3"/>
    </row>
    <row r="29" spans="1:1">
      <c r="A29" s="3"/>
    </row>
    <row r="30" spans="1:1">
      <c r="A30" s="3"/>
    </row>
    <row r="31" spans="1:1">
      <c r="A31" s="3"/>
    </row>
    <row r="32" spans="1:1">
      <c r="A32" s="3"/>
    </row>
    <row r="33" spans="1:1">
      <c r="A33" s="3"/>
    </row>
    <row r="34" spans="1:1">
      <c r="A34" s="3"/>
    </row>
    <row r="35" spans="1:1">
      <c r="A35" s="3"/>
    </row>
    <row r="36" spans="1:1">
      <c r="A36" s="3"/>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T62"/>
  <sheetViews>
    <sheetView workbookViewId="0">
      <selection activeCell="U32" sqref="U32"/>
    </sheetView>
  </sheetViews>
  <sheetFormatPr defaultRowHeight="15"/>
  <sheetData>
    <row r="1" spans="1:20" ht="15" customHeight="1">
      <c r="A1" s="150" t="s">
        <v>118</v>
      </c>
      <c r="B1" s="532"/>
      <c r="C1" s="532"/>
      <c r="D1" s="532"/>
      <c r="E1" s="150" t="s">
        <v>206</v>
      </c>
      <c r="F1" s="532"/>
      <c r="G1" s="150" t="s">
        <v>221</v>
      </c>
      <c r="H1" s="532"/>
      <c r="I1" s="568"/>
      <c r="J1" s="568"/>
      <c r="K1" s="532"/>
      <c r="L1" s="532"/>
      <c r="M1" s="532"/>
      <c r="N1" s="532"/>
      <c r="O1" s="532"/>
      <c r="P1" s="568"/>
      <c r="Q1" s="568"/>
      <c r="R1" s="532"/>
      <c r="S1" s="532"/>
      <c r="T1" s="532"/>
    </row>
    <row r="2" spans="1:20" ht="15" customHeight="1">
      <c r="A2" s="150" t="s">
        <v>121</v>
      </c>
      <c r="B2" s="532"/>
      <c r="C2" s="532"/>
      <c r="D2" s="532"/>
      <c r="E2" s="150" t="s">
        <v>208</v>
      </c>
      <c r="F2" s="532"/>
      <c r="G2" s="532"/>
      <c r="H2" s="532"/>
      <c r="I2" s="568"/>
      <c r="J2" s="568"/>
      <c r="K2" s="532"/>
      <c r="L2" s="532"/>
      <c r="M2" s="532"/>
      <c r="N2" s="532"/>
      <c r="O2" s="532"/>
      <c r="P2" s="568"/>
      <c r="Q2" s="568"/>
      <c r="R2" s="532"/>
      <c r="S2" s="532"/>
      <c r="T2" s="532"/>
    </row>
    <row r="3" spans="1:20" ht="15" customHeight="1">
      <c r="A3" s="150"/>
      <c r="B3" s="532"/>
      <c r="C3" s="532"/>
      <c r="D3" s="150" t="s">
        <v>125</v>
      </c>
      <c r="E3" s="150" t="s">
        <v>209</v>
      </c>
      <c r="F3" s="532"/>
      <c r="G3" s="532"/>
      <c r="H3" s="532"/>
      <c r="I3" s="568"/>
      <c r="J3" s="568"/>
      <c r="K3" s="532"/>
      <c r="L3" s="532"/>
      <c r="M3" s="532"/>
      <c r="N3" s="532"/>
      <c r="O3" s="532"/>
      <c r="P3" s="568"/>
      <c r="Q3" s="568"/>
      <c r="R3" s="532"/>
      <c r="S3" s="532"/>
      <c r="T3" s="532"/>
    </row>
    <row r="4" spans="1:20">
      <c r="A4" s="151"/>
      <c r="B4" s="532"/>
      <c r="C4" s="532"/>
      <c r="D4" s="532"/>
      <c r="E4" s="532"/>
      <c r="F4" s="532"/>
      <c r="G4" s="532"/>
      <c r="H4" s="532"/>
      <c r="I4" s="568"/>
      <c r="J4" s="568"/>
      <c r="K4" s="532"/>
      <c r="L4" s="532"/>
      <c r="M4" s="532"/>
      <c r="N4" s="532"/>
      <c r="O4" s="532"/>
      <c r="P4" s="568"/>
      <c r="Q4" s="568"/>
      <c r="R4" s="532"/>
      <c r="S4" s="532"/>
      <c r="T4" s="532"/>
    </row>
    <row r="5" spans="1:20">
      <c r="A5" s="532"/>
      <c r="B5" s="60" t="s">
        <v>129</v>
      </c>
      <c r="C5" s="532"/>
      <c r="D5" s="532"/>
      <c r="E5" s="532"/>
      <c r="F5" s="532"/>
      <c r="G5" s="532"/>
      <c r="H5" s="532"/>
      <c r="I5" s="568"/>
      <c r="J5" s="568"/>
      <c r="K5" s="532"/>
      <c r="L5" s="532"/>
      <c r="M5" s="532"/>
      <c r="N5" s="532"/>
      <c r="O5" s="532"/>
      <c r="P5" s="568"/>
      <c r="Q5" s="568"/>
      <c r="R5" s="532"/>
      <c r="S5" s="532"/>
      <c r="T5" s="532"/>
    </row>
    <row r="6" spans="1:20">
      <c r="A6" s="151" t="s">
        <v>134</v>
      </c>
      <c r="B6" s="61">
        <v>8</v>
      </c>
      <c r="C6" s="532" t="s">
        <v>135</v>
      </c>
      <c r="D6" s="532"/>
      <c r="E6" s="532"/>
      <c r="F6" s="532"/>
      <c r="G6" s="532"/>
      <c r="H6" s="532"/>
      <c r="I6" s="568"/>
      <c r="J6" s="568"/>
      <c r="K6" s="532"/>
      <c r="L6" s="532"/>
      <c r="M6" s="532"/>
      <c r="N6" s="532"/>
      <c r="O6" s="532"/>
      <c r="P6" s="568"/>
      <c r="Q6" s="568"/>
      <c r="R6" s="532"/>
      <c r="S6" s="532"/>
      <c r="T6" s="532"/>
    </row>
    <row r="7" spans="1:20">
      <c r="A7" s="151" t="s">
        <v>137</v>
      </c>
      <c r="B7" s="152">
        <v>2400</v>
      </c>
      <c r="C7" s="532" t="s">
        <v>138</v>
      </c>
      <c r="D7" s="532"/>
      <c r="E7" s="532"/>
      <c r="F7" s="61">
        <v>300</v>
      </c>
      <c r="G7" s="532"/>
      <c r="H7" s="532"/>
      <c r="I7" s="568"/>
      <c r="J7" s="568"/>
      <c r="K7" s="532"/>
      <c r="L7" s="532"/>
      <c r="M7" s="532"/>
      <c r="N7" s="532"/>
      <c r="O7" s="532"/>
      <c r="P7" s="568"/>
      <c r="Q7" s="568"/>
      <c r="R7" s="532"/>
      <c r="S7" s="532"/>
      <c r="T7" s="532"/>
    </row>
    <row r="8" spans="1:20">
      <c r="A8" s="151" t="s">
        <v>139</v>
      </c>
      <c r="B8" s="65">
        <v>2</v>
      </c>
      <c r="C8" s="532" t="s">
        <v>140</v>
      </c>
      <c r="D8" s="532"/>
      <c r="E8" s="532"/>
      <c r="F8" s="532"/>
      <c r="G8" s="532"/>
      <c r="H8" s="532"/>
      <c r="I8" s="568"/>
      <c r="J8" s="568"/>
      <c r="K8" s="532"/>
      <c r="L8" s="532"/>
      <c r="M8" s="532"/>
      <c r="N8" s="532"/>
      <c r="O8" s="532"/>
      <c r="P8" s="568"/>
      <c r="Q8" s="568"/>
      <c r="R8" s="532"/>
      <c r="S8" s="532"/>
      <c r="T8" s="532"/>
    </row>
    <row r="9" spans="1:20">
      <c r="A9" s="151" t="s">
        <v>210</v>
      </c>
      <c r="B9" s="65">
        <v>5</v>
      </c>
      <c r="C9" s="532" t="s">
        <v>140</v>
      </c>
      <c r="D9" s="532"/>
      <c r="E9" s="532"/>
      <c r="F9" s="532"/>
      <c r="G9" s="532"/>
      <c r="H9" s="532"/>
      <c r="I9" s="568"/>
      <c r="J9" s="568"/>
      <c r="K9" s="532"/>
      <c r="L9" s="532"/>
      <c r="M9" s="532"/>
      <c r="N9" s="532"/>
      <c r="O9" s="532"/>
      <c r="P9" s="568"/>
      <c r="Q9" s="568"/>
      <c r="R9" s="532"/>
      <c r="S9" s="532"/>
      <c r="T9" s="532"/>
    </row>
    <row r="10" spans="1:20">
      <c r="A10" s="151"/>
      <c r="B10" s="532"/>
      <c r="C10" s="532"/>
      <c r="D10" s="532"/>
      <c r="E10" s="532"/>
      <c r="F10" s="532"/>
      <c r="G10" s="532"/>
      <c r="H10" s="532"/>
      <c r="I10" s="568"/>
      <c r="J10" s="568"/>
      <c r="K10" s="532"/>
      <c r="L10" s="532"/>
      <c r="M10" s="532"/>
      <c r="N10" s="532"/>
      <c r="O10" s="532"/>
      <c r="P10" s="568"/>
      <c r="Q10" s="568"/>
      <c r="R10" s="532"/>
      <c r="S10" s="532"/>
      <c r="T10" s="532"/>
    </row>
    <row r="11" spans="1:20" ht="15" customHeight="1">
      <c r="A11" s="150" t="s">
        <v>144</v>
      </c>
      <c r="B11" s="532"/>
      <c r="C11" s="532"/>
      <c r="D11" s="532"/>
      <c r="E11" s="532"/>
      <c r="F11" s="532"/>
      <c r="G11" s="532"/>
      <c r="H11" s="532"/>
      <c r="I11" s="568"/>
      <c r="J11" s="568"/>
      <c r="K11" s="532"/>
      <c r="L11" s="532"/>
      <c r="M11" s="532"/>
      <c r="N11" s="532"/>
      <c r="O11" s="532"/>
      <c r="P11" s="568"/>
      <c r="Q11" s="568"/>
      <c r="R11" s="532"/>
      <c r="S11" s="532"/>
      <c r="T11" s="532"/>
    </row>
    <row r="12" spans="1:20">
      <c r="A12" s="151"/>
      <c r="B12" s="532"/>
      <c r="C12" s="532"/>
      <c r="D12" s="532"/>
      <c r="E12" s="532"/>
      <c r="F12" s="532"/>
      <c r="G12" s="532"/>
      <c r="H12" s="532"/>
      <c r="I12" s="568"/>
      <c r="J12" s="568"/>
      <c r="K12" s="532"/>
      <c r="L12" s="532"/>
      <c r="M12" s="532"/>
      <c r="N12" s="532"/>
      <c r="O12" s="532"/>
      <c r="P12" s="568"/>
      <c r="Q12" s="568"/>
      <c r="R12" s="532"/>
      <c r="S12" s="532"/>
      <c r="T12" s="532"/>
    </row>
    <row r="13" spans="1:20">
      <c r="A13" s="569" t="s">
        <v>146</v>
      </c>
      <c r="B13" s="570"/>
      <c r="C13" s="151"/>
      <c r="D13" s="571" t="s">
        <v>211</v>
      </c>
      <c r="E13" s="572"/>
      <c r="F13" s="572"/>
      <c r="G13" s="572"/>
      <c r="H13" s="572"/>
      <c r="I13" s="532"/>
      <c r="J13" s="573" t="s">
        <v>222</v>
      </c>
      <c r="K13" s="574"/>
      <c r="L13" s="574"/>
      <c r="M13" s="574"/>
      <c r="N13" s="574"/>
      <c r="O13" s="574"/>
      <c r="P13" s="532"/>
      <c r="Q13" s="575" t="s">
        <v>213</v>
      </c>
      <c r="R13" s="576"/>
      <c r="S13" s="576"/>
      <c r="T13" s="576"/>
    </row>
    <row r="14" spans="1:20">
      <c r="A14" s="153" t="s">
        <v>150</v>
      </c>
      <c r="B14" s="153" t="s">
        <v>151</v>
      </c>
      <c r="C14" s="151"/>
      <c r="D14" s="154" t="s">
        <v>132</v>
      </c>
      <c r="E14" s="154" t="s">
        <v>152</v>
      </c>
      <c r="F14" s="533" t="s">
        <v>153</v>
      </c>
      <c r="G14" s="153" t="s">
        <v>154</v>
      </c>
      <c r="H14" s="153" t="s">
        <v>155</v>
      </c>
      <c r="I14" s="532"/>
      <c r="J14" s="153" t="s">
        <v>132</v>
      </c>
      <c r="K14" s="153" t="s">
        <v>156</v>
      </c>
      <c r="L14" s="153" t="s">
        <v>153</v>
      </c>
      <c r="M14" s="153" t="s">
        <v>154</v>
      </c>
      <c r="N14" s="153" t="s">
        <v>155</v>
      </c>
      <c r="O14" s="155" t="s">
        <v>157</v>
      </c>
      <c r="P14" s="532"/>
      <c r="Q14" s="156" t="s">
        <v>153</v>
      </c>
      <c r="R14" s="157" t="s">
        <v>154</v>
      </c>
      <c r="S14" s="157" t="s">
        <v>155</v>
      </c>
      <c r="T14" s="156" t="s">
        <v>214</v>
      </c>
    </row>
    <row r="15" spans="1:20">
      <c r="A15" s="152" t="s">
        <v>159</v>
      </c>
      <c r="B15" s="158">
        <v>0.59799999999999998</v>
      </c>
      <c r="C15" s="532"/>
      <c r="D15" s="159">
        <v>15</v>
      </c>
      <c r="E15" s="159">
        <v>32</v>
      </c>
      <c r="F15" s="160">
        <v>4.5999999999999996</v>
      </c>
      <c r="G15" s="152">
        <v>2.7</v>
      </c>
      <c r="H15" s="152">
        <v>21.9</v>
      </c>
      <c r="I15" s="532"/>
      <c r="J15" s="152">
        <v>15</v>
      </c>
      <c r="K15" s="152">
        <v>0.66700000000000004</v>
      </c>
      <c r="L15" s="159">
        <v>1.4</v>
      </c>
      <c r="M15" s="152">
        <v>0.4</v>
      </c>
      <c r="N15" s="152">
        <v>3.4</v>
      </c>
      <c r="O15" s="162">
        <v>-0.84</v>
      </c>
      <c r="P15" s="532"/>
      <c r="Q15" s="163">
        <v>4.5999999999999996</v>
      </c>
      <c r="R15" s="163">
        <v>2.8</v>
      </c>
      <c r="S15" s="163">
        <v>22</v>
      </c>
      <c r="T15" s="164">
        <v>5.44</v>
      </c>
    </row>
    <row r="16" spans="1:20">
      <c r="A16" s="152" t="s">
        <v>160</v>
      </c>
      <c r="B16" s="158">
        <v>0</v>
      </c>
      <c r="C16" s="532"/>
      <c r="D16" s="159">
        <v>82</v>
      </c>
      <c r="E16" s="159">
        <v>103</v>
      </c>
      <c r="F16" s="160">
        <v>14.7</v>
      </c>
      <c r="G16" s="152">
        <v>0</v>
      </c>
      <c r="H16" s="152">
        <v>0</v>
      </c>
      <c r="I16" s="532"/>
      <c r="J16" s="152">
        <v>101</v>
      </c>
      <c r="K16" s="152">
        <v>0.442</v>
      </c>
      <c r="L16" s="152">
        <v>6.4</v>
      </c>
      <c r="M16" s="152">
        <v>0</v>
      </c>
      <c r="N16" s="152">
        <v>0</v>
      </c>
      <c r="O16" s="161"/>
      <c r="P16" s="532"/>
      <c r="Q16" s="163"/>
      <c r="R16" s="163">
        <v>0</v>
      </c>
      <c r="S16" s="163">
        <v>0</v>
      </c>
      <c r="T16" s="163"/>
    </row>
    <row r="17" spans="1:20">
      <c r="A17" s="152">
        <v>1</v>
      </c>
      <c r="B17" s="158">
        <v>0.124</v>
      </c>
      <c r="C17" s="532"/>
      <c r="D17" s="159">
        <v>98</v>
      </c>
      <c r="E17" s="159">
        <v>55</v>
      </c>
      <c r="F17" s="160">
        <v>7.9</v>
      </c>
      <c r="G17" s="152">
        <v>1</v>
      </c>
      <c r="H17" s="152">
        <v>7.8</v>
      </c>
      <c r="I17" s="532"/>
      <c r="J17" s="152">
        <v>101</v>
      </c>
      <c r="K17" s="152">
        <v>0.442</v>
      </c>
      <c r="L17" s="152">
        <v>6.4</v>
      </c>
      <c r="M17" s="152">
        <v>0.8</v>
      </c>
      <c r="N17" s="152">
        <v>6.3</v>
      </c>
      <c r="O17" s="162">
        <v>-0.19</v>
      </c>
      <c r="P17" s="532"/>
      <c r="Q17" s="163">
        <v>7</v>
      </c>
      <c r="R17" s="163">
        <v>0.9</v>
      </c>
      <c r="S17" s="163">
        <v>6.9</v>
      </c>
      <c r="T17" s="164">
        <v>9.8000000000000004E-2</v>
      </c>
    </row>
    <row r="18" spans="1:20">
      <c r="A18" s="152">
        <v>2</v>
      </c>
      <c r="B18" s="158">
        <v>0.123</v>
      </c>
      <c r="C18" s="532"/>
      <c r="D18" s="159">
        <v>333</v>
      </c>
      <c r="E18" s="159">
        <v>137</v>
      </c>
      <c r="F18" s="160">
        <v>19.600000000000001</v>
      </c>
      <c r="G18" s="152">
        <v>2.4</v>
      </c>
      <c r="H18" s="152">
        <v>19.3</v>
      </c>
      <c r="I18" s="532"/>
      <c r="J18" s="152">
        <v>350</v>
      </c>
      <c r="K18" s="152">
        <v>0.40300000000000002</v>
      </c>
      <c r="L18" s="152">
        <v>20.2</v>
      </c>
      <c r="M18" s="152">
        <v>2.5</v>
      </c>
      <c r="N18" s="152">
        <v>19.8</v>
      </c>
      <c r="O18" s="162">
        <v>0.03</v>
      </c>
      <c r="P18" s="532"/>
      <c r="Q18" s="163">
        <v>16</v>
      </c>
      <c r="R18" s="163">
        <v>2</v>
      </c>
      <c r="S18" s="163">
        <v>15.7</v>
      </c>
      <c r="T18" s="164">
        <v>-0.20599999999999999</v>
      </c>
    </row>
    <row r="19" spans="1:20">
      <c r="A19" s="152">
        <v>3</v>
      </c>
      <c r="B19" s="158">
        <v>5.8000000000000003E-2</v>
      </c>
      <c r="C19" s="532"/>
      <c r="D19" s="159">
        <v>589</v>
      </c>
      <c r="E19" s="159">
        <v>226</v>
      </c>
      <c r="F19" s="160">
        <v>32.299999999999997</v>
      </c>
      <c r="G19" s="152">
        <v>1.9</v>
      </c>
      <c r="H19" s="152">
        <v>15</v>
      </c>
      <c r="I19" s="532"/>
      <c r="J19" s="152">
        <v>625</v>
      </c>
      <c r="K19" s="152">
        <v>0.38500000000000001</v>
      </c>
      <c r="L19" s="152">
        <v>34.4</v>
      </c>
      <c r="M19" s="152">
        <v>2</v>
      </c>
      <c r="N19" s="152">
        <v>16</v>
      </c>
      <c r="O19" s="162">
        <v>0.06</v>
      </c>
      <c r="P19" s="532"/>
      <c r="Q19" s="163">
        <v>31.4</v>
      </c>
      <c r="R19" s="163">
        <v>1.8</v>
      </c>
      <c r="S19" s="163">
        <v>14.6</v>
      </c>
      <c r="T19" s="164">
        <v>-8.6999999999999994E-2</v>
      </c>
    </row>
    <row r="20" spans="1:20">
      <c r="A20" s="152">
        <v>4</v>
      </c>
      <c r="B20" s="158">
        <v>3.5999999999999997E-2</v>
      </c>
      <c r="C20" s="532"/>
      <c r="D20" s="159">
        <v>871</v>
      </c>
      <c r="E20" s="159">
        <v>331</v>
      </c>
      <c r="F20" s="160">
        <v>47.3</v>
      </c>
      <c r="G20" s="152">
        <v>1.7</v>
      </c>
      <c r="H20" s="152">
        <v>13.6</v>
      </c>
      <c r="I20" s="532"/>
      <c r="J20" s="152">
        <v>900</v>
      </c>
      <c r="K20" s="152">
        <v>0.37</v>
      </c>
      <c r="L20" s="152">
        <v>47.6</v>
      </c>
      <c r="M20" s="152">
        <v>1.7</v>
      </c>
      <c r="N20" s="152">
        <v>13.7</v>
      </c>
      <c r="O20" s="162">
        <v>0.01</v>
      </c>
      <c r="P20" s="532"/>
      <c r="Q20" s="163">
        <v>46.8</v>
      </c>
      <c r="R20" s="163">
        <v>1.7</v>
      </c>
      <c r="S20" s="163">
        <v>13.5</v>
      </c>
      <c r="T20" s="164">
        <v>-1.6E-2</v>
      </c>
    </row>
    <row r="21" spans="1:20">
      <c r="A21" s="152">
        <v>5</v>
      </c>
      <c r="B21" s="158">
        <v>3.5999999999999997E-2</v>
      </c>
      <c r="C21" s="532"/>
      <c r="D21" s="159">
        <v>1161</v>
      </c>
      <c r="E21" s="159">
        <v>442</v>
      </c>
      <c r="F21" s="160">
        <v>63.1</v>
      </c>
      <c r="G21" s="152">
        <v>2.2999999999999998</v>
      </c>
      <c r="H21" s="152">
        <v>18.2</v>
      </c>
      <c r="I21" s="532"/>
      <c r="J21" s="152">
        <v>1175</v>
      </c>
      <c r="K21" s="152">
        <v>0.35799999999999998</v>
      </c>
      <c r="L21" s="152">
        <v>60.1</v>
      </c>
      <c r="M21" s="152">
        <v>2.2000000000000002</v>
      </c>
      <c r="N21" s="152">
        <v>17.3</v>
      </c>
      <c r="O21" s="162">
        <v>-0.05</v>
      </c>
      <c r="P21" s="532"/>
      <c r="Q21" s="163">
        <v>63.8</v>
      </c>
      <c r="R21" s="163">
        <v>2.2999999999999998</v>
      </c>
      <c r="S21" s="163">
        <v>18.399999999999999</v>
      </c>
      <c r="T21" s="164">
        <v>6.2E-2</v>
      </c>
    </row>
    <row r="22" spans="1:20">
      <c r="A22" s="152">
        <v>6</v>
      </c>
      <c r="B22" s="158">
        <v>1.4999999999999999E-2</v>
      </c>
      <c r="C22" s="532"/>
      <c r="D22" s="159">
        <v>1465</v>
      </c>
      <c r="E22" s="159">
        <v>567</v>
      </c>
      <c r="F22" s="160">
        <v>81</v>
      </c>
      <c r="G22" s="152">
        <v>1.2</v>
      </c>
      <c r="H22" s="152">
        <v>9.6999999999999993</v>
      </c>
      <c r="I22" s="532"/>
      <c r="J22" s="152">
        <v>1450</v>
      </c>
      <c r="K22" s="152">
        <v>0.34200000000000003</v>
      </c>
      <c r="L22" s="152">
        <v>70.8</v>
      </c>
      <c r="M22" s="152">
        <v>1.1000000000000001</v>
      </c>
      <c r="N22" s="152">
        <v>8.5</v>
      </c>
      <c r="O22" s="162">
        <v>-0.13</v>
      </c>
      <c r="P22" s="532"/>
      <c r="Q22" s="163">
        <v>83.1</v>
      </c>
      <c r="R22" s="163">
        <v>1.2</v>
      </c>
      <c r="S22" s="163">
        <v>10</v>
      </c>
      <c r="T22" s="164">
        <v>0.17299999999999999</v>
      </c>
    </row>
    <row r="23" spans="1:20">
      <c r="A23" s="152">
        <v>7</v>
      </c>
      <c r="B23" s="158">
        <v>2E-3</v>
      </c>
      <c r="C23" s="532"/>
      <c r="D23" s="159">
        <v>1810</v>
      </c>
      <c r="E23" s="159">
        <v>710</v>
      </c>
      <c r="F23" s="160">
        <v>101.4</v>
      </c>
      <c r="G23" s="152">
        <v>0.2</v>
      </c>
      <c r="H23" s="152">
        <v>1.6</v>
      </c>
      <c r="I23" s="532"/>
      <c r="J23" s="152">
        <v>1721</v>
      </c>
      <c r="K23" s="152">
        <v>0.34200000000000003</v>
      </c>
      <c r="L23" s="152">
        <v>84.1</v>
      </c>
      <c r="M23" s="152">
        <v>0.2</v>
      </c>
      <c r="N23" s="152">
        <v>1.3</v>
      </c>
      <c r="O23" s="162">
        <v>-0.17</v>
      </c>
      <c r="P23" s="532"/>
      <c r="Q23" s="163">
        <v>102.8</v>
      </c>
      <c r="R23" s="163">
        <v>0.2</v>
      </c>
      <c r="S23" s="163">
        <v>1.6</v>
      </c>
      <c r="T23" s="164">
        <v>0.223</v>
      </c>
    </row>
    <row r="24" spans="1:20">
      <c r="A24" s="152">
        <v>8</v>
      </c>
      <c r="B24" s="158">
        <v>8.0000000000000002E-3</v>
      </c>
      <c r="C24" s="532"/>
      <c r="D24" s="159">
        <v>2124</v>
      </c>
      <c r="E24" s="159">
        <v>854</v>
      </c>
      <c r="F24" s="160">
        <v>122</v>
      </c>
      <c r="G24" s="165">
        <v>1</v>
      </c>
      <c r="H24" s="165">
        <v>7.8</v>
      </c>
      <c r="I24" s="532"/>
      <c r="J24" s="152">
        <v>2130</v>
      </c>
      <c r="K24" s="152">
        <v>0.35399999999999998</v>
      </c>
      <c r="L24" s="152">
        <v>107.7</v>
      </c>
      <c r="M24" s="165">
        <v>0.9</v>
      </c>
      <c r="N24" s="165">
        <v>6.9</v>
      </c>
      <c r="O24" s="166">
        <v>-0.12</v>
      </c>
      <c r="P24" s="532"/>
      <c r="Q24" s="163">
        <v>122.4</v>
      </c>
      <c r="R24" s="163">
        <v>1</v>
      </c>
      <c r="S24" s="167">
        <v>7.8</v>
      </c>
      <c r="T24" s="168">
        <v>0.13600000000000001</v>
      </c>
    </row>
    <row r="25" spans="1:20">
      <c r="A25" s="532"/>
      <c r="B25" s="532"/>
      <c r="C25" s="532"/>
      <c r="D25" s="532"/>
      <c r="E25" s="532"/>
      <c r="F25" s="532" t="s">
        <v>162</v>
      </c>
      <c r="G25" s="95">
        <v>14.4</v>
      </c>
      <c r="H25" s="169">
        <v>114.9</v>
      </c>
      <c r="I25" s="568"/>
      <c r="J25" s="568"/>
      <c r="K25" s="532"/>
      <c r="L25" s="532" t="s">
        <v>162</v>
      </c>
      <c r="M25" s="95">
        <v>11.7</v>
      </c>
      <c r="N25" s="169">
        <v>93.3</v>
      </c>
      <c r="O25" s="170">
        <v>-0.19</v>
      </c>
      <c r="P25" s="568"/>
      <c r="Q25" s="568"/>
      <c r="R25" s="101">
        <v>13.8</v>
      </c>
      <c r="S25" s="171">
        <v>110.6</v>
      </c>
      <c r="T25" s="172">
        <v>0.185</v>
      </c>
    </row>
    <row r="26" spans="1:20">
      <c r="A26" s="532"/>
      <c r="B26" s="532"/>
      <c r="C26" s="532"/>
      <c r="D26" s="532"/>
      <c r="E26" s="532"/>
      <c r="F26" s="532"/>
      <c r="G26" s="532"/>
      <c r="H26" s="532"/>
      <c r="I26" s="568"/>
      <c r="J26" s="568"/>
      <c r="K26" s="532"/>
      <c r="L26" s="532"/>
      <c r="M26" s="532"/>
      <c r="N26" s="532"/>
      <c r="O26" s="532"/>
      <c r="P26" s="568"/>
      <c r="Q26" s="568"/>
      <c r="R26" s="532"/>
      <c r="S26" s="532"/>
      <c r="T26" s="532"/>
    </row>
    <row r="27" spans="1:20">
      <c r="A27" s="173" t="s">
        <v>215</v>
      </c>
      <c r="B27" s="532"/>
      <c r="C27" s="532"/>
      <c r="D27" s="532"/>
      <c r="E27" s="532"/>
      <c r="F27" s="532"/>
      <c r="G27" s="532"/>
      <c r="H27" s="532"/>
      <c r="I27" s="568"/>
      <c r="J27" s="568"/>
      <c r="K27" s="532"/>
      <c r="L27" s="532"/>
      <c r="M27" s="532"/>
      <c r="N27" s="532"/>
      <c r="O27" s="532"/>
      <c r="P27" s="568"/>
      <c r="Q27" s="568"/>
      <c r="R27" s="532"/>
      <c r="S27" s="532"/>
      <c r="T27" s="532"/>
    </row>
    <row r="28" spans="1:20" ht="15" customHeight="1">
      <c r="A28" s="153" t="s">
        <v>165</v>
      </c>
      <c r="B28" s="174" t="s">
        <v>166</v>
      </c>
      <c r="C28" s="174" t="s">
        <v>167</v>
      </c>
      <c r="D28" s="174" t="s">
        <v>168</v>
      </c>
      <c r="E28" s="174" t="s">
        <v>169</v>
      </c>
      <c r="F28" s="174" t="s">
        <v>170</v>
      </c>
      <c r="G28" s="174" t="s">
        <v>171</v>
      </c>
      <c r="H28" s="532"/>
      <c r="I28" s="568"/>
      <c r="J28" s="568"/>
      <c r="K28" s="532"/>
      <c r="L28" s="532"/>
      <c r="M28" s="532"/>
      <c r="N28" s="532"/>
      <c r="O28" s="532"/>
      <c r="P28" s="568"/>
      <c r="Q28" s="568"/>
      <c r="R28" s="532"/>
      <c r="S28" s="532"/>
      <c r="T28" s="532"/>
    </row>
    <row r="29" spans="1:20">
      <c r="A29" s="175" t="s">
        <v>172</v>
      </c>
      <c r="B29" s="152">
        <v>21.6</v>
      </c>
      <c r="C29" s="152">
        <v>300</v>
      </c>
      <c r="D29" s="176">
        <v>6476</v>
      </c>
      <c r="E29" s="177">
        <v>2</v>
      </c>
      <c r="F29" s="178">
        <v>12953</v>
      </c>
      <c r="G29" s="178">
        <v>194295</v>
      </c>
      <c r="H29" s="532"/>
      <c r="I29" s="568"/>
      <c r="J29" s="568"/>
      <c r="K29" s="532"/>
      <c r="L29" s="532"/>
      <c r="M29" s="532"/>
      <c r="N29" s="532"/>
      <c r="O29" s="532"/>
      <c r="P29" s="568"/>
      <c r="Q29" s="568"/>
      <c r="R29" s="532"/>
      <c r="S29" s="532"/>
      <c r="T29" s="532"/>
    </row>
    <row r="30" spans="1:20">
      <c r="A30" s="156" t="s">
        <v>223</v>
      </c>
      <c r="B30" s="152">
        <v>17.3</v>
      </c>
      <c r="C30" s="152">
        <v>300</v>
      </c>
      <c r="D30" s="176">
        <v>5190</v>
      </c>
      <c r="E30" s="177">
        <v>2</v>
      </c>
      <c r="F30" s="178">
        <v>10379</v>
      </c>
      <c r="G30" s="178">
        <v>155685</v>
      </c>
      <c r="H30" s="532"/>
      <c r="I30" s="568"/>
      <c r="J30" s="568"/>
      <c r="K30" s="532"/>
      <c r="L30" s="532"/>
      <c r="M30" s="532"/>
      <c r="N30" s="532"/>
      <c r="O30" s="532"/>
      <c r="P30" s="568"/>
      <c r="Q30" s="568"/>
      <c r="R30" s="532"/>
      <c r="S30" s="532"/>
      <c r="T30" s="532"/>
    </row>
    <row r="31" spans="1:20">
      <c r="A31" s="179"/>
      <c r="B31" s="532"/>
      <c r="C31" s="532"/>
      <c r="D31" s="532"/>
      <c r="E31" s="532"/>
      <c r="F31" s="151"/>
      <c r="G31" s="151"/>
      <c r="H31" s="532"/>
      <c r="I31" s="568"/>
      <c r="J31" s="568"/>
      <c r="K31" s="532"/>
      <c r="L31" s="532"/>
      <c r="M31" s="532"/>
      <c r="N31" s="532"/>
      <c r="O31" s="532"/>
      <c r="P31" s="568"/>
      <c r="Q31" s="568"/>
      <c r="R31" s="532"/>
      <c r="S31" s="532"/>
      <c r="T31" s="532"/>
    </row>
    <row r="32" spans="1:20">
      <c r="A32" s="151"/>
      <c r="B32" s="532"/>
      <c r="C32" s="532"/>
      <c r="D32" s="532"/>
      <c r="E32" s="532"/>
      <c r="F32" s="532"/>
      <c r="G32" s="532"/>
      <c r="H32" s="532"/>
      <c r="I32" s="568"/>
      <c r="J32" s="568"/>
      <c r="K32" s="532"/>
      <c r="L32" s="532"/>
      <c r="M32" s="532"/>
      <c r="N32" s="532"/>
      <c r="O32" s="532"/>
      <c r="P32" s="568"/>
      <c r="Q32" s="568"/>
      <c r="R32" s="532"/>
      <c r="S32" s="532"/>
      <c r="T32" s="532"/>
    </row>
    <row r="33" spans="1:20" ht="15" customHeight="1">
      <c r="A33" s="150" t="s">
        <v>175</v>
      </c>
      <c r="B33" s="532"/>
      <c r="C33" s="532"/>
      <c r="D33" s="532"/>
      <c r="E33" s="532"/>
      <c r="F33" s="532"/>
      <c r="G33" s="532"/>
      <c r="H33" s="532"/>
      <c r="I33" s="568"/>
      <c r="J33" s="568"/>
      <c r="K33" s="532"/>
      <c r="L33" s="532"/>
      <c r="M33" s="532"/>
      <c r="N33" s="532"/>
      <c r="O33" s="532"/>
      <c r="P33" s="568"/>
      <c r="Q33" s="568"/>
      <c r="R33" s="532"/>
      <c r="S33" s="532"/>
      <c r="T33" s="532"/>
    </row>
    <row r="34" spans="1:20">
      <c r="A34" s="151"/>
      <c r="B34" s="532"/>
      <c r="C34" s="532"/>
      <c r="D34" s="532"/>
      <c r="E34" s="532"/>
      <c r="F34" s="532"/>
      <c r="G34" s="532"/>
      <c r="H34" s="532"/>
      <c r="I34" s="568"/>
      <c r="J34" s="568"/>
      <c r="K34" s="532"/>
      <c r="L34" s="532"/>
      <c r="M34" s="532"/>
      <c r="N34" s="532"/>
      <c r="O34" s="532"/>
      <c r="P34" s="568"/>
      <c r="Q34" s="568"/>
      <c r="R34" s="532"/>
      <c r="S34" s="532"/>
      <c r="T34" s="532"/>
    </row>
    <row r="35" spans="1:20">
      <c r="A35" s="173" t="s">
        <v>176</v>
      </c>
      <c r="B35" s="532"/>
      <c r="C35" s="532"/>
      <c r="D35" s="532"/>
      <c r="E35" s="532"/>
      <c r="F35" s="532"/>
      <c r="G35" s="532"/>
      <c r="H35" s="532"/>
      <c r="I35" s="568"/>
      <c r="J35" s="568"/>
      <c r="K35" s="532"/>
      <c r="L35" s="532"/>
      <c r="M35" s="532"/>
      <c r="N35" s="532"/>
      <c r="O35" s="532"/>
      <c r="P35" s="568"/>
      <c r="Q35" s="568"/>
      <c r="R35" s="532"/>
      <c r="S35" s="532"/>
      <c r="T35" s="532"/>
    </row>
    <row r="36" spans="1:20" ht="15" customHeight="1">
      <c r="A36" s="174" t="s">
        <v>177</v>
      </c>
      <c r="B36" s="174" t="s">
        <v>178</v>
      </c>
      <c r="C36" s="174" t="s">
        <v>179</v>
      </c>
      <c r="D36" s="174" t="s">
        <v>216</v>
      </c>
      <c r="E36" s="174" t="s">
        <v>152</v>
      </c>
      <c r="F36" s="174" t="s">
        <v>181</v>
      </c>
      <c r="G36" s="153" t="s">
        <v>155</v>
      </c>
      <c r="H36" s="532"/>
      <c r="I36" s="568"/>
      <c r="J36" s="568"/>
      <c r="K36" s="532"/>
      <c r="L36" s="532"/>
      <c r="M36" s="532"/>
      <c r="N36" s="532"/>
      <c r="O36" s="532"/>
      <c r="P36" s="568"/>
      <c r="Q36" s="568"/>
      <c r="R36" s="532"/>
      <c r="S36" s="532"/>
      <c r="T36" s="532"/>
    </row>
    <row r="37" spans="1:20">
      <c r="A37" s="61">
        <v>65</v>
      </c>
      <c r="B37" s="152">
        <v>2.9999999999999997E-4</v>
      </c>
      <c r="C37" s="61">
        <v>2130</v>
      </c>
      <c r="D37" s="180">
        <v>0.1</v>
      </c>
      <c r="E37" s="152">
        <v>6.4000000000000001E-2</v>
      </c>
      <c r="F37" s="152">
        <v>0.01</v>
      </c>
      <c r="G37" s="152">
        <v>7.0000000000000007E-2</v>
      </c>
      <c r="H37" s="532"/>
      <c r="I37" s="568"/>
      <c r="J37" s="568"/>
      <c r="K37" s="532"/>
      <c r="L37" s="532"/>
      <c r="M37" s="532"/>
      <c r="N37" s="532"/>
      <c r="O37" s="532"/>
      <c r="P37" s="568"/>
      <c r="Q37" s="568"/>
      <c r="R37" s="532"/>
      <c r="S37" s="532"/>
      <c r="T37" s="532"/>
    </row>
    <row r="38" spans="1:20">
      <c r="A38" s="532"/>
      <c r="B38" s="532"/>
      <c r="C38" s="532"/>
      <c r="D38" s="532"/>
      <c r="E38" s="532"/>
      <c r="F38" s="532"/>
      <c r="G38" s="532"/>
      <c r="H38" s="532"/>
      <c r="I38" s="568"/>
      <c r="J38" s="568"/>
      <c r="K38" s="532"/>
      <c r="L38" s="532"/>
      <c r="M38" s="532"/>
      <c r="N38" s="532"/>
      <c r="O38" s="532"/>
      <c r="P38" s="568"/>
      <c r="Q38" s="568"/>
      <c r="R38" s="532"/>
      <c r="S38" s="532"/>
      <c r="T38" s="532"/>
    </row>
    <row r="39" spans="1:20">
      <c r="A39" s="532"/>
      <c r="B39" s="532"/>
      <c r="C39" s="532"/>
      <c r="D39" s="532"/>
      <c r="E39" s="532"/>
      <c r="F39" s="532"/>
      <c r="G39" s="532"/>
      <c r="H39" s="532"/>
      <c r="I39" s="568"/>
      <c r="J39" s="568"/>
      <c r="K39" s="532"/>
      <c r="L39" s="532"/>
      <c r="M39" s="532"/>
      <c r="N39" s="532"/>
      <c r="O39" s="532"/>
      <c r="P39" s="568"/>
      <c r="Q39" s="568"/>
      <c r="R39" s="532"/>
      <c r="S39" s="532"/>
      <c r="T39" s="532"/>
    </row>
    <row r="40" spans="1:20">
      <c r="A40" s="181" t="s">
        <v>183</v>
      </c>
      <c r="B40" s="532"/>
      <c r="C40" s="532"/>
      <c r="D40" s="532"/>
      <c r="E40" s="532"/>
      <c r="F40" s="532"/>
      <c r="G40" s="532"/>
      <c r="H40" s="532"/>
      <c r="I40" s="568"/>
      <c r="J40" s="568"/>
      <c r="K40" s="532"/>
      <c r="L40" s="532"/>
      <c r="M40" s="532"/>
      <c r="N40" s="532"/>
      <c r="O40" s="532"/>
      <c r="P40" s="568"/>
      <c r="Q40" s="568"/>
      <c r="R40" s="532"/>
      <c r="S40" s="532"/>
      <c r="T40" s="532"/>
    </row>
    <row r="41" spans="1:20">
      <c r="A41" s="153" t="s">
        <v>184</v>
      </c>
      <c r="B41" s="153" t="s">
        <v>185</v>
      </c>
      <c r="C41" s="182"/>
      <c r="D41" s="182"/>
      <c r="E41" s="183"/>
      <c r="F41" s="153" t="s">
        <v>181</v>
      </c>
      <c r="G41" s="153" t="s">
        <v>186</v>
      </c>
      <c r="H41" s="532"/>
      <c r="I41" s="568"/>
      <c r="J41" s="568"/>
      <c r="K41" s="532"/>
      <c r="L41" s="532"/>
      <c r="M41" s="532"/>
      <c r="N41" s="532"/>
      <c r="O41" s="532"/>
      <c r="P41" s="568"/>
      <c r="Q41" s="568"/>
      <c r="R41" s="532"/>
      <c r="S41" s="532"/>
      <c r="T41" s="532"/>
    </row>
    <row r="42" spans="1:20">
      <c r="A42" s="152">
        <v>6.25E-2</v>
      </c>
      <c r="B42" s="61">
        <v>16</v>
      </c>
      <c r="C42" s="183"/>
      <c r="D42" s="183"/>
      <c r="E42" s="183"/>
      <c r="F42" s="152">
        <v>1</v>
      </c>
      <c r="G42" s="152">
        <v>8</v>
      </c>
      <c r="H42" s="532"/>
      <c r="I42" s="568"/>
      <c r="J42" s="568"/>
      <c r="K42" s="532"/>
      <c r="L42" s="532"/>
      <c r="M42" s="532"/>
      <c r="N42" s="532"/>
      <c r="O42" s="532"/>
      <c r="P42" s="568"/>
      <c r="Q42" s="568"/>
      <c r="R42" s="532"/>
      <c r="S42" s="532"/>
      <c r="T42" s="532"/>
    </row>
    <row r="43" spans="1:20">
      <c r="A43" s="532"/>
      <c r="B43" s="532"/>
      <c r="C43" s="532"/>
      <c r="D43" s="532"/>
      <c r="E43" s="532"/>
      <c r="F43" s="532"/>
      <c r="G43" s="532"/>
      <c r="H43" s="532"/>
      <c r="I43" s="568"/>
      <c r="J43" s="568"/>
      <c r="K43" s="532"/>
      <c r="L43" s="532"/>
      <c r="M43" s="532"/>
      <c r="N43" s="532"/>
      <c r="O43" s="532"/>
      <c r="P43" s="568"/>
      <c r="Q43" s="568"/>
      <c r="R43" s="532"/>
      <c r="S43" s="532"/>
      <c r="T43" s="532"/>
    </row>
    <row r="44" spans="1:20">
      <c r="A44" s="173" t="s">
        <v>215</v>
      </c>
      <c r="B44" s="532"/>
      <c r="C44" s="532"/>
      <c r="D44" s="532"/>
      <c r="E44" s="532"/>
      <c r="F44" s="532"/>
      <c r="G44" s="532"/>
      <c r="H44" s="532"/>
      <c r="I44" s="568"/>
      <c r="J44" s="568"/>
      <c r="K44" s="532"/>
      <c r="L44" s="532"/>
      <c r="M44" s="532"/>
      <c r="N44" s="532"/>
      <c r="O44" s="532"/>
      <c r="P44" s="568"/>
      <c r="Q44" s="568"/>
      <c r="R44" s="532"/>
      <c r="S44" s="532"/>
      <c r="T44" s="532"/>
    </row>
    <row r="45" spans="1:20" ht="15" customHeight="1">
      <c r="A45" s="174" t="s">
        <v>217</v>
      </c>
      <c r="B45" s="174" t="s">
        <v>166</v>
      </c>
      <c r="C45" s="174" t="s">
        <v>218</v>
      </c>
      <c r="D45" s="174" t="s">
        <v>168</v>
      </c>
      <c r="E45" s="174" t="s">
        <v>169</v>
      </c>
      <c r="F45" s="174" t="s">
        <v>170</v>
      </c>
      <c r="G45" s="174" t="s">
        <v>171</v>
      </c>
      <c r="H45" s="532"/>
      <c r="I45" s="568"/>
      <c r="J45" s="568"/>
      <c r="K45" s="532"/>
      <c r="L45" s="532"/>
      <c r="M45" s="532"/>
      <c r="N45" s="532"/>
      <c r="O45" s="532"/>
      <c r="P45" s="568"/>
      <c r="Q45" s="568"/>
      <c r="R45" s="532"/>
      <c r="S45" s="532"/>
      <c r="T45" s="532"/>
    </row>
    <row r="46" spans="1:20">
      <c r="A46" s="153" t="s">
        <v>194</v>
      </c>
      <c r="B46" s="152">
        <v>7.9</v>
      </c>
      <c r="C46" s="152">
        <v>300</v>
      </c>
      <c r="D46" s="176">
        <v>2379</v>
      </c>
      <c r="E46" s="177">
        <v>5</v>
      </c>
      <c r="F46" s="184">
        <v>11895</v>
      </c>
      <c r="G46" s="184">
        <v>178424</v>
      </c>
      <c r="H46" s="532"/>
      <c r="I46" s="568"/>
      <c r="J46" s="568"/>
      <c r="K46" s="532"/>
      <c r="L46" s="532"/>
      <c r="M46" s="532"/>
      <c r="N46" s="532"/>
      <c r="O46" s="532"/>
      <c r="P46" s="568"/>
      <c r="Q46" s="568"/>
      <c r="R46" s="532"/>
      <c r="S46" s="532"/>
      <c r="T46" s="532"/>
    </row>
    <row r="47" spans="1:20">
      <c r="A47" s="153" t="s">
        <v>195</v>
      </c>
      <c r="B47" s="152"/>
      <c r="C47" s="152">
        <v>300</v>
      </c>
      <c r="D47" s="152">
        <v>-260</v>
      </c>
      <c r="E47" s="177">
        <v>5</v>
      </c>
      <c r="F47" s="184">
        <v>-1300</v>
      </c>
      <c r="G47" s="184">
        <v>-19500</v>
      </c>
      <c r="H47" s="532"/>
      <c r="I47" s="568"/>
      <c r="J47" s="568"/>
      <c r="K47" s="532"/>
      <c r="L47" s="532"/>
      <c r="M47" s="532"/>
      <c r="N47" s="532"/>
      <c r="O47" s="532"/>
      <c r="P47" s="568"/>
      <c r="Q47" s="568"/>
      <c r="R47" s="532"/>
      <c r="S47" s="532"/>
      <c r="T47" s="532"/>
    </row>
    <row r="48" spans="1:20">
      <c r="A48" s="151"/>
      <c r="B48" s="532"/>
      <c r="C48" s="532"/>
      <c r="D48" s="532"/>
      <c r="E48" s="532" t="s">
        <v>196</v>
      </c>
      <c r="F48" s="178">
        <v>10595</v>
      </c>
      <c r="G48" s="178">
        <v>158924</v>
      </c>
      <c r="H48" s="532"/>
      <c r="I48" s="568"/>
      <c r="J48" s="568"/>
      <c r="K48" s="532"/>
      <c r="L48" s="532"/>
      <c r="M48" s="532"/>
      <c r="N48" s="532"/>
      <c r="O48" s="532"/>
      <c r="P48" s="568"/>
      <c r="Q48" s="568"/>
      <c r="R48" s="532"/>
      <c r="S48" s="532"/>
      <c r="T48" s="532"/>
    </row>
    <row r="49" spans="1:20">
      <c r="A49" s="151"/>
      <c r="B49" s="532"/>
      <c r="C49" s="532"/>
      <c r="D49" s="532"/>
      <c r="E49" s="532"/>
      <c r="F49" s="151"/>
      <c r="G49" s="151"/>
      <c r="H49" s="532"/>
      <c r="I49" s="568"/>
      <c r="J49" s="568"/>
      <c r="K49" s="532"/>
      <c r="L49" s="532"/>
      <c r="M49" s="532"/>
      <c r="N49" s="532"/>
      <c r="O49" s="532"/>
      <c r="P49" s="568"/>
      <c r="Q49" s="568"/>
      <c r="R49" s="532"/>
      <c r="S49" s="532"/>
      <c r="T49" s="532"/>
    </row>
    <row r="50" spans="1:20">
      <c r="A50" s="173" t="s">
        <v>215</v>
      </c>
      <c r="B50" s="532"/>
      <c r="C50" s="532"/>
      <c r="D50" s="532"/>
      <c r="E50" s="532"/>
      <c r="F50" s="151"/>
      <c r="G50" s="151"/>
      <c r="H50" s="532"/>
      <c r="I50" s="568"/>
      <c r="J50" s="568"/>
      <c r="K50" s="532"/>
      <c r="L50" s="532"/>
      <c r="M50" s="532"/>
      <c r="N50" s="532"/>
      <c r="O50" s="532"/>
      <c r="P50" s="568"/>
      <c r="Q50" s="568"/>
      <c r="R50" s="532"/>
      <c r="S50" s="532"/>
      <c r="T50" s="532"/>
    </row>
    <row r="51" spans="1:20" ht="15" customHeight="1">
      <c r="A51" s="174" t="s">
        <v>219</v>
      </c>
      <c r="B51" s="174" t="s">
        <v>166</v>
      </c>
      <c r="C51" s="174" t="s">
        <v>218</v>
      </c>
      <c r="D51" s="174" t="s">
        <v>168</v>
      </c>
      <c r="E51" s="174" t="s">
        <v>169</v>
      </c>
      <c r="F51" s="174" t="s">
        <v>170</v>
      </c>
      <c r="G51" s="174" t="s">
        <v>171</v>
      </c>
      <c r="H51" s="532"/>
      <c r="I51" s="568"/>
      <c r="J51" s="568"/>
      <c r="K51" s="532"/>
      <c r="L51" s="532"/>
      <c r="M51" s="532"/>
      <c r="N51" s="532"/>
      <c r="O51" s="532"/>
      <c r="P51" s="568"/>
      <c r="Q51" s="568"/>
      <c r="R51" s="532"/>
      <c r="S51" s="532"/>
      <c r="T51" s="532"/>
    </row>
    <row r="52" spans="1:20">
      <c r="A52" s="153" t="s">
        <v>194</v>
      </c>
      <c r="B52" s="152">
        <v>7.9</v>
      </c>
      <c r="C52" s="152">
        <v>300</v>
      </c>
      <c r="D52" s="176">
        <v>2379</v>
      </c>
      <c r="E52" s="177">
        <v>5</v>
      </c>
      <c r="F52" s="184">
        <v>11895</v>
      </c>
      <c r="G52" s="184">
        <v>178424</v>
      </c>
      <c r="H52" s="532"/>
      <c r="I52" s="568"/>
      <c r="J52" s="568"/>
      <c r="K52" s="532"/>
      <c r="L52" s="532"/>
      <c r="M52" s="532"/>
      <c r="N52" s="532"/>
      <c r="O52" s="532"/>
      <c r="P52" s="568"/>
      <c r="Q52" s="568"/>
      <c r="R52" s="532"/>
      <c r="S52" s="532"/>
      <c r="T52" s="532"/>
    </row>
    <row r="53" spans="1:20">
      <c r="A53" s="153" t="s">
        <v>220</v>
      </c>
      <c r="B53" s="152">
        <v>-0.31</v>
      </c>
      <c r="C53" s="152">
        <v>300</v>
      </c>
      <c r="D53" s="152">
        <v>-93</v>
      </c>
      <c r="E53" s="177">
        <v>5</v>
      </c>
      <c r="F53" s="184">
        <v>-466</v>
      </c>
      <c r="G53" s="184">
        <v>-6995</v>
      </c>
      <c r="H53" s="532"/>
      <c r="I53" s="568"/>
      <c r="J53" s="568"/>
      <c r="K53" s="532"/>
      <c r="L53" s="532"/>
      <c r="M53" s="532"/>
      <c r="N53" s="532"/>
      <c r="O53" s="532"/>
      <c r="P53" s="568"/>
      <c r="Q53" s="568"/>
      <c r="R53" s="532"/>
      <c r="S53" s="532"/>
      <c r="T53" s="532"/>
    </row>
    <row r="54" spans="1:20">
      <c r="A54" s="153" t="s">
        <v>195</v>
      </c>
      <c r="B54" s="152"/>
      <c r="C54" s="152"/>
      <c r="D54" s="152">
        <v>-65</v>
      </c>
      <c r="E54" s="177">
        <v>5</v>
      </c>
      <c r="F54" s="184">
        <v>-325</v>
      </c>
      <c r="G54" s="184">
        <v>-4875</v>
      </c>
      <c r="H54" s="532"/>
      <c r="I54" s="568"/>
      <c r="J54" s="568"/>
      <c r="K54" s="532"/>
      <c r="L54" s="532"/>
      <c r="M54" s="532"/>
      <c r="N54" s="532"/>
      <c r="O54" s="532"/>
      <c r="P54" s="568"/>
      <c r="Q54" s="568"/>
      <c r="R54" s="532"/>
      <c r="S54" s="532"/>
      <c r="T54" s="532"/>
    </row>
    <row r="55" spans="1:20">
      <c r="A55" s="151"/>
      <c r="B55" s="532"/>
      <c r="C55" s="532"/>
      <c r="D55" s="532"/>
      <c r="E55" s="532" t="s">
        <v>196</v>
      </c>
      <c r="F55" s="178">
        <v>11104</v>
      </c>
      <c r="G55" s="178">
        <v>166554</v>
      </c>
      <c r="H55" s="532"/>
      <c r="I55" s="568"/>
      <c r="J55" s="568"/>
      <c r="K55" s="532"/>
      <c r="L55" s="532"/>
      <c r="M55" s="532"/>
      <c r="N55" s="532"/>
      <c r="O55" s="532"/>
      <c r="P55" s="568"/>
      <c r="Q55" s="568"/>
      <c r="R55" s="532"/>
      <c r="S55" s="532"/>
      <c r="T55" s="532"/>
    </row>
    <row r="56" spans="1:20">
      <c r="A56" s="151"/>
      <c r="B56" s="532"/>
      <c r="C56" s="532"/>
      <c r="D56" s="532"/>
      <c r="E56" s="532"/>
      <c r="F56" s="151"/>
      <c r="G56" s="151"/>
      <c r="H56" s="532"/>
      <c r="I56" s="568"/>
      <c r="J56" s="568"/>
      <c r="K56" s="532"/>
      <c r="L56" s="532"/>
      <c r="M56" s="532"/>
      <c r="N56" s="532"/>
      <c r="O56" s="532"/>
      <c r="P56" s="568"/>
      <c r="Q56" s="568"/>
      <c r="R56" s="532"/>
      <c r="S56" s="532"/>
      <c r="T56" s="532"/>
    </row>
    <row r="57" spans="1:20">
      <c r="A57" s="151"/>
      <c r="B57" s="532"/>
      <c r="C57" s="532"/>
      <c r="D57" s="532"/>
      <c r="E57" s="532"/>
      <c r="F57" s="151"/>
      <c r="G57" s="151"/>
      <c r="H57" s="532"/>
      <c r="I57" s="568"/>
      <c r="J57" s="568"/>
      <c r="K57" s="532"/>
      <c r="L57" s="532"/>
      <c r="M57" s="532"/>
      <c r="N57" s="532"/>
      <c r="O57" s="532"/>
      <c r="P57" s="568"/>
      <c r="Q57" s="568"/>
      <c r="R57" s="532"/>
      <c r="S57" s="532"/>
      <c r="T57" s="532"/>
    </row>
    <row r="58" spans="1:20">
      <c r="A58" s="532"/>
      <c r="B58" s="532"/>
      <c r="C58" s="532"/>
      <c r="D58" s="532"/>
      <c r="E58" s="532"/>
      <c r="F58" s="532"/>
      <c r="G58" s="532"/>
      <c r="H58" s="532"/>
      <c r="I58" s="568"/>
      <c r="J58" s="568"/>
      <c r="K58" s="532"/>
      <c r="L58" s="532"/>
      <c r="M58" s="532"/>
      <c r="N58" s="532"/>
      <c r="O58" s="532"/>
      <c r="P58" s="568"/>
      <c r="Q58" s="568"/>
      <c r="R58" s="532"/>
      <c r="S58" s="532"/>
      <c r="T58" s="532"/>
    </row>
    <row r="59" spans="1:20">
      <c r="A59" s="185"/>
      <c r="B59" s="532"/>
      <c r="C59" s="532"/>
      <c r="D59" s="532"/>
      <c r="E59" s="532"/>
      <c r="F59" s="532"/>
      <c r="G59" s="532"/>
      <c r="H59" s="532"/>
      <c r="I59" s="568"/>
      <c r="J59" s="568"/>
      <c r="K59" s="532"/>
      <c r="L59" s="532"/>
      <c r="M59" s="532"/>
      <c r="N59" s="532"/>
      <c r="O59" s="532"/>
      <c r="P59" s="568"/>
      <c r="Q59" s="568"/>
      <c r="R59" s="532"/>
      <c r="S59" s="532"/>
      <c r="T59" s="532"/>
    </row>
    <row r="60" spans="1:20">
      <c r="A60" s="532"/>
      <c r="B60" s="532"/>
      <c r="C60" s="532"/>
      <c r="D60" s="532"/>
      <c r="E60" s="532"/>
      <c r="F60" s="532"/>
      <c r="G60" s="532"/>
      <c r="H60" s="532"/>
      <c r="I60" s="568"/>
      <c r="J60" s="568"/>
      <c r="K60" s="532"/>
      <c r="L60" s="532"/>
      <c r="M60" s="532"/>
      <c r="N60" s="532"/>
      <c r="O60" s="532"/>
      <c r="P60" s="568"/>
      <c r="Q60" s="568"/>
      <c r="R60" s="532"/>
      <c r="S60" s="532"/>
      <c r="T60" s="532"/>
    </row>
    <row r="61" spans="1:20">
      <c r="A61" s="532"/>
      <c r="B61" s="532"/>
      <c r="C61" s="532"/>
      <c r="D61" s="532"/>
      <c r="E61" s="532"/>
      <c r="F61" s="532"/>
      <c r="G61" s="532"/>
      <c r="H61" s="532"/>
      <c r="I61" s="568"/>
      <c r="J61" s="568"/>
      <c r="K61" s="532"/>
      <c r="L61" s="532"/>
      <c r="M61" s="532"/>
      <c r="N61" s="532"/>
      <c r="O61" s="532"/>
      <c r="P61" s="568"/>
      <c r="Q61" s="568"/>
      <c r="R61" s="532"/>
      <c r="S61" s="532"/>
      <c r="T61" s="532"/>
    </row>
    <row r="62" spans="1:20">
      <c r="A62" s="532"/>
      <c r="B62" s="532"/>
      <c r="C62" s="532"/>
      <c r="D62" s="532"/>
      <c r="E62" s="532"/>
      <c r="F62" s="532"/>
      <c r="G62" s="532"/>
      <c r="H62" s="532"/>
      <c r="I62" s="568"/>
      <c r="J62" s="568"/>
      <c r="K62" s="532"/>
      <c r="L62" s="532"/>
      <c r="M62" s="532"/>
      <c r="N62" s="532"/>
      <c r="O62" s="532"/>
      <c r="P62" s="568"/>
      <c r="Q62" s="568"/>
      <c r="R62" s="532"/>
      <c r="S62" s="532"/>
      <c r="T62" s="532"/>
    </row>
  </sheetData>
  <mergeCells count="104">
    <mergeCell ref="I62:J62"/>
    <mergeCell ref="P62:Q62"/>
    <mergeCell ref="I59:J59"/>
    <mergeCell ref="P59:Q59"/>
    <mergeCell ref="I60:J60"/>
    <mergeCell ref="P60:Q60"/>
    <mergeCell ref="I61:J61"/>
    <mergeCell ref="P61:Q61"/>
    <mergeCell ref="I56:J56"/>
    <mergeCell ref="P56:Q56"/>
    <mergeCell ref="I57:J57"/>
    <mergeCell ref="P57:Q57"/>
    <mergeCell ref="I58:J58"/>
    <mergeCell ref="P58:Q58"/>
    <mergeCell ref="I53:J53"/>
    <mergeCell ref="P53:Q53"/>
    <mergeCell ref="I54:J54"/>
    <mergeCell ref="P54:Q54"/>
    <mergeCell ref="I55:J55"/>
    <mergeCell ref="P55:Q55"/>
    <mergeCell ref="I50:J50"/>
    <mergeCell ref="P50:Q50"/>
    <mergeCell ref="I51:J51"/>
    <mergeCell ref="P51:Q51"/>
    <mergeCell ref="I52:J52"/>
    <mergeCell ref="P52:Q52"/>
    <mergeCell ref="I47:J47"/>
    <mergeCell ref="P47:Q47"/>
    <mergeCell ref="I48:J48"/>
    <mergeCell ref="P48:Q48"/>
    <mergeCell ref="I49:J49"/>
    <mergeCell ref="P49:Q49"/>
    <mergeCell ref="I44:J44"/>
    <mergeCell ref="P44:Q44"/>
    <mergeCell ref="I45:J45"/>
    <mergeCell ref="P45:Q45"/>
    <mergeCell ref="I46:J46"/>
    <mergeCell ref="P46:Q46"/>
    <mergeCell ref="I41:J41"/>
    <mergeCell ref="P41:Q41"/>
    <mergeCell ref="I42:J42"/>
    <mergeCell ref="P42:Q42"/>
    <mergeCell ref="I43:J43"/>
    <mergeCell ref="P43:Q43"/>
    <mergeCell ref="I38:J38"/>
    <mergeCell ref="P38:Q38"/>
    <mergeCell ref="I39:J39"/>
    <mergeCell ref="P39:Q39"/>
    <mergeCell ref="I40:J40"/>
    <mergeCell ref="P40:Q40"/>
    <mergeCell ref="I35:J35"/>
    <mergeCell ref="P35:Q35"/>
    <mergeCell ref="I36:J36"/>
    <mergeCell ref="P36:Q36"/>
    <mergeCell ref="I37:J37"/>
    <mergeCell ref="P37:Q37"/>
    <mergeCell ref="I32:J32"/>
    <mergeCell ref="P32:Q32"/>
    <mergeCell ref="I33:J33"/>
    <mergeCell ref="P33:Q33"/>
    <mergeCell ref="I34:J34"/>
    <mergeCell ref="P34:Q34"/>
    <mergeCell ref="I30:J30"/>
    <mergeCell ref="P30:Q30"/>
    <mergeCell ref="I31:J31"/>
    <mergeCell ref="P31:Q31"/>
    <mergeCell ref="I26:J26"/>
    <mergeCell ref="P26:Q26"/>
    <mergeCell ref="I27:J27"/>
    <mergeCell ref="P27:Q27"/>
    <mergeCell ref="I28:J28"/>
    <mergeCell ref="P28:Q28"/>
    <mergeCell ref="I25:J25"/>
    <mergeCell ref="P25:Q25"/>
    <mergeCell ref="I10:J10"/>
    <mergeCell ref="P10:Q10"/>
    <mergeCell ref="I11:J11"/>
    <mergeCell ref="P11:Q11"/>
    <mergeCell ref="I12:J12"/>
    <mergeCell ref="P12:Q12"/>
    <mergeCell ref="I29:J29"/>
    <mergeCell ref="P29:Q29"/>
    <mergeCell ref="I9:J9"/>
    <mergeCell ref="P9:Q9"/>
    <mergeCell ref="I4:J4"/>
    <mergeCell ref="P4:Q4"/>
    <mergeCell ref="I5:J5"/>
    <mergeCell ref="P5:Q5"/>
    <mergeCell ref="I6:J6"/>
    <mergeCell ref="P6:Q6"/>
    <mergeCell ref="A13:B13"/>
    <mergeCell ref="D13:H13"/>
    <mergeCell ref="J13:O13"/>
    <mergeCell ref="Q13:T13"/>
    <mergeCell ref="I1:J1"/>
    <mergeCell ref="P1:Q1"/>
    <mergeCell ref="I2:J2"/>
    <mergeCell ref="P2:Q2"/>
    <mergeCell ref="I3:J3"/>
    <mergeCell ref="P3:Q3"/>
    <mergeCell ref="I7:J7"/>
    <mergeCell ref="P7:Q7"/>
    <mergeCell ref="I8:J8"/>
    <mergeCell ref="P8:Q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X32"/>
  <sheetViews>
    <sheetView workbookViewId="0">
      <selection activeCell="B30" sqref="B30"/>
    </sheetView>
  </sheetViews>
  <sheetFormatPr defaultRowHeight="15"/>
  <cols>
    <col min="1" max="1" width="53.85546875" bestFit="1" customWidth="1"/>
    <col min="2" max="2" width="31.140625" bestFit="1" customWidth="1"/>
    <col min="3" max="3" width="28.7109375" bestFit="1" customWidth="1"/>
    <col min="4" max="4" width="23.28515625" bestFit="1" customWidth="1"/>
    <col min="5" max="5" width="22.5703125" customWidth="1"/>
    <col min="6" max="6" width="30.85546875" customWidth="1"/>
    <col min="7" max="7" width="55.140625" customWidth="1"/>
    <col min="8" max="8" width="21.42578125" customWidth="1"/>
    <col min="9" max="9" width="20.140625" customWidth="1"/>
    <col min="10" max="10" width="21.7109375" customWidth="1"/>
    <col min="11" max="17" width="7.140625" bestFit="1" customWidth="1"/>
    <col min="18" max="24" width="8.140625" bestFit="1" customWidth="1"/>
  </cols>
  <sheetData>
    <row r="1" spans="1:11">
      <c r="A1" s="8" t="s">
        <v>224</v>
      </c>
      <c r="B1" s="9" t="s">
        <v>225</v>
      </c>
      <c r="C1" s="9" t="s">
        <v>226</v>
      </c>
      <c r="D1" s="189" t="s">
        <v>227</v>
      </c>
      <c r="E1" s="188" t="s">
        <v>228</v>
      </c>
      <c r="G1" s="10" t="s">
        <v>229</v>
      </c>
      <c r="H1" s="10" t="s">
        <v>230</v>
      </c>
      <c r="I1" s="11" t="s">
        <v>231</v>
      </c>
      <c r="J1" s="11" t="s">
        <v>232</v>
      </c>
    </row>
    <row r="2" spans="1:11">
      <c r="A2" s="12" t="s">
        <v>233</v>
      </c>
      <c r="B2" s="13">
        <v>114.9</v>
      </c>
      <c r="C2" s="13">
        <v>300</v>
      </c>
      <c r="D2" s="190">
        <f t="shared" ref="D2:D8" si="0">B2*C2</f>
        <v>34470</v>
      </c>
      <c r="E2" s="192" t="s">
        <v>234</v>
      </c>
      <c r="G2" s="15" t="s">
        <v>235</v>
      </c>
      <c r="H2" s="14">
        <v>2</v>
      </c>
      <c r="I2" s="16">
        <v>4</v>
      </c>
      <c r="J2" s="17">
        <v>3</v>
      </c>
    </row>
    <row r="3" spans="1:11">
      <c r="A3" s="12" t="s">
        <v>236</v>
      </c>
      <c r="B3" s="13">
        <v>110.6</v>
      </c>
      <c r="C3" s="13">
        <v>300</v>
      </c>
      <c r="D3" s="190">
        <f t="shared" si="0"/>
        <v>33180</v>
      </c>
      <c r="E3" s="192" t="s">
        <v>234</v>
      </c>
      <c r="G3" s="32" t="s">
        <v>237</v>
      </c>
      <c r="H3" s="33">
        <v>4</v>
      </c>
      <c r="I3" s="34">
        <v>8</v>
      </c>
      <c r="J3" s="34">
        <v>6</v>
      </c>
      <c r="K3" t="s">
        <v>238</v>
      </c>
    </row>
    <row r="4" spans="1:11">
      <c r="A4" s="12" t="s">
        <v>239</v>
      </c>
      <c r="B4" s="13">
        <v>225.9</v>
      </c>
      <c r="C4" s="13">
        <v>300</v>
      </c>
      <c r="D4" s="190">
        <f t="shared" si="0"/>
        <v>67770</v>
      </c>
      <c r="E4" s="193" t="s">
        <v>240</v>
      </c>
      <c r="G4" s="15" t="s">
        <v>241</v>
      </c>
      <c r="H4" s="14">
        <v>6</v>
      </c>
      <c r="I4" s="16">
        <v>12</v>
      </c>
      <c r="J4" s="17">
        <v>9</v>
      </c>
    </row>
    <row r="5" spans="1:11">
      <c r="A5" s="12" t="s">
        <v>242</v>
      </c>
      <c r="B5" s="13">
        <v>232.2</v>
      </c>
      <c r="C5" s="13">
        <v>300</v>
      </c>
      <c r="D5" s="190">
        <f t="shared" si="0"/>
        <v>69660</v>
      </c>
      <c r="E5" s="193" t="s">
        <v>240</v>
      </c>
    </row>
    <row r="6" spans="1:11">
      <c r="A6" s="35" t="s">
        <v>243</v>
      </c>
      <c r="B6" s="36">
        <v>92.7</v>
      </c>
      <c r="C6" s="36">
        <v>300</v>
      </c>
      <c r="D6" s="191">
        <f t="shared" si="0"/>
        <v>27810</v>
      </c>
      <c r="E6" s="192" t="s">
        <v>234</v>
      </c>
    </row>
    <row r="7" spans="1:11">
      <c r="A7" s="186" t="s">
        <v>244</v>
      </c>
      <c r="B7" s="187">
        <v>93.3</v>
      </c>
      <c r="C7" s="187">
        <v>300</v>
      </c>
      <c r="D7" s="191">
        <f t="shared" si="0"/>
        <v>27990</v>
      </c>
      <c r="E7" s="192" t="s">
        <v>234</v>
      </c>
    </row>
    <row r="8" spans="1:11">
      <c r="A8" s="203" t="s">
        <v>245</v>
      </c>
      <c r="B8" s="204">
        <v>163.80000000000001</v>
      </c>
      <c r="C8" s="205">
        <v>300</v>
      </c>
      <c r="D8" s="206">
        <f t="shared" si="0"/>
        <v>49140</v>
      </c>
      <c r="E8" s="193" t="s">
        <v>240</v>
      </c>
    </row>
    <row r="10" spans="1:11">
      <c r="A10" s="18" t="s">
        <v>246</v>
      </c>
      <c r="B10" s="19" t="s">
        <v>247</v>
      </c>
      <c r="C10" s="19" t="s">
        <v>248</v>
      </c>
      <c r="D10" s="19" t="s">
        <v>249</v>
      </c>
      <c r="E10" s="45" t="s">
        <v>250</v>
      </c>
      <c r="F10" s="47" t="s">
        <v>251</v>
      </c>
    </row>
    <row r="11" spans="1:11">
      <c r="A11" s="20"/>
      <c r="B11" s="21" t="s">
        <v>252</v>
      </c>
      <c r="C11" s="16" t="s">
        <v>252</v>
      </c>
      <c r="D11" s="16" t="s">
        <v>253</v>
      </c>
      <c r="E11" s="46" t="s">
        <v>253</v>
      </c>
      <c r="F11" s="48" t="s">
        <v>253</v>
      </c>
    </row>
    <row r="12" spans="1:11">
      <c r="A12" s="198" t="s">
        <v>254</v>
      </c>
      <c r="B12" s="199">
        <v>34470</v>
      </c>
      <c r="C12" s="199">
        <v>27810</v>
      </c>
      <c r="D12" s="211">
        <f>B12*0.01023</f>
        <v>352.62809999999996</v>
      </c>
      <c r="E12" s="211">
        <f>C12*0.01023</f>
        <v>284.49629999999996</v>
      </c>
      <c r="F12" s="200">
        <f>D12-E12</f>
        <v>68.131799999999998</v>
      </c>
      <c r="G12" s="212"/>
      <c r="H12" s="212"/>
    </row>
    <row r="13" spans="1:11">
      <c r="A13" s="198" t="s">
        <v>255</v>
      </c>
      <c r="B13" s="199">
        <v>34470</v>
      </c>
      <c r="C13" s="199">
        <v>27990</v>
      </c>
      <c r="D13" s="211">
        <f t="shared" ref="D13:D15" si="1">B13*0.01023</f>
        <v>352.62809999999996</v>
      </c>
      <c r="E13" s="211">
        <f t="shared" ref="E13:E15" si="2">C13*0.01023</f>
        <v>286.33769999999998</v>
      </c>
      <c r="F13" s="200">
        <f t="shared" ref="F13:F15" si="3">D13-E13</f>
        <v>66.290399999999977</v>
      </c>
      <c r="G13" s="212"/>
      <c r="H13" s="212"/>
    </row>
    <row r="14" spans="1:11">
      <c r="A14" s="198" t="s">
        <v>256</v>
      </c>
      <c r="B14" s="199">
        <v>33180</v>
      </c>
      <c r="C14" s="199">
        <v>27810</v>
      </c>
      <c r="D14" s="211">
        <f t="shared" si="1"/>
        <v>339.4314</v>
      </c>
      <c r="E14" s="211">
        <f t="shared" si="2"/>
        <v>284.49629999999996</v>
      </c>
      <c r="F14" s="200">
        <f t="shared" si="3"/>
        <v>54.935100000000034</v>
      </c>
      <c r="G14" s="212"/>
      <c r="H14" s="212"/>
    </row>
    <row r="15" spans="1:11">
      <c r="A15" s="201" t="s">
        <v>257</v>
      </c>
      <c r="B15" s="202">
        <v>33180</v>
      </c>
      <c r="C15" s="202">
        <v>27990</v>
      </c>
      <c r="D15" s="211">
        <f t="shared" si="1"/>
        <v>339.4314</v>
      </c>
      <c r="E15" s="211">
        <f t="shared" si="2"/>
        <v>286.33769999999998</v>
      </c>
      <c r="F15" s="200">
        <f t="shared" si="3"/>
        <v>53.093700000000013</v>
      </c>
      <c r="G15" s="212"/>
      <c r="H15" s="212"/>
    </row>
    <row r="16" spans="1:11" s="197" customFormat="1">
      <c r="A16" s="207" t="s">
        <v>258</v>
      </c>
      <c r="B16" s="208">
        <f>D4</f>
        <v>67770</v>
      </c>
      <c r="C16" s="208">
        <f>D8</f>
        <v>49140</v>
      </c>
      <c r="D16" s="209">
        <f>B16*0.01023</f>
        <v>693.28710000000001</v>
      </c>
      <c r="E16" s="209">
        <f>C16*0.01023</f>
        <v>502.70219999999995</v>
      </c>
      <c r="F16" s="210">
        <f>D16-E16</f>
        <v>190.58490000000006</v>
      </c>
      <c r="G16" s="212"/>
      <c r="H16" s="212"/>
    </row>
    <row r="17" spans="1:24" s="197" customFormat="1">
      <c r="A17" s="207" t="s">
        <v>259</v>
      </c>
      <c r="B17" s="208">
        <f>D5</f>
        <v>69660</v>
      </c>
      <c r="C17" s="208">
        <f>D8</f>
        <v>49140</v>
      </c>
      <c r="D17" s="209">
        <f>B17*0.01023</f>
        <v>712.62180000000001</v>
      </c>
      <c r="E17" s="209">
        <f>C17*0.01023</f>
        <v>502.70219999999995</v>
      </c>
      <c r="F17" s="210">
        <f>D17-E17</f>
        <v>209.91960000000006</v>
      </c>
      <c r="G17" s="212"/>
      <c r="H17" s="212"/>
    </row>
    <row r="18" spans="1:24" s="197" customFormat="1">
      <c r="A18" s="194"/>
      <c r="B18" s="195"/>
      <c r="C18" s="195"/>
      <c r="D18" s="196"/>
      <c r="E18" s="196"/>
      <c r="F18" s="196"/>
    </row>
    <row r="19" spans="1:24">
      <c r="A19" t="s">
        <v>260</v>
      </c>
    </row>
    <row r="20" spans="1:24">
      <c r="A20" s="22"/>
      <c r="B20" s="23" t="s">
        <v>261</v>
      </c>
      <c r="C20" s="22"/>
      <c r="D20" s="22"/>
      <c r="E20" s="22"/>
      <c r="F20" s="22"/>
      <c r="G20" s="22"/>
      <c r="H20" s="22"/>
      <c r="I20" s="22"/>
      <c r="J20" s="22"/>
      <c r="K20" s="22"/>
      <c r="L20" s="22"/>
      <c r="M20" s="22"/>
      <c r="N20" s="22"/>
      <c r="O20" s="22"/>
      <c r="P20" s="22"/>
      <c r="Q20" s="22"/>
      <c r="R20" s="22"/>
      <c r="S20" s="22"/>
      <c r="T20" s="22"/>
      <c r="U20" s="22"/>
      <c r="V20" s="22"/>
      <c r="W20" s="22"/>
      <c r="X20" s="22"/>
    </row>
    <row r="21" spans="1:24">
      <c r="A21" s="24" t="s">
        <v>262</v>
      </c>
      <c r="B21" s="25" t="s">
        <v>263</v>
      </c>
      <c r="C21" s="25" t="s">
        <v>264</v>
      </c>
      <c r="D21" s="25" t="s">
        <v>265</v>
      </c>
      <c r="E21" s="25" t="s">
        <v>265</v>
      </c>
      <c r="F21" s="25" t="s">
        <v>266</v>
      </c>
      <c r="G21" s="25" t="s">
        <v>267</v>
      </c>
      <c r="H21" s="25" t="s">
        <v>268</v>
      </c>
      <c r="I21" s="25" t="s">
        <v>269</v>
      </c>
      <c r="J21" s="25" t="s">
        <v>270</v>
      </c>
      <c r="K21" s="25" t="s">
        <v>271</v>
      </c>
      <c r="L21" s="25" t="s">
        <v>272</v>
      </c>
      <c r="M21" s="25" t="s">
        <v>273</v>
      </c>
      <c r="N21" s="25" t="s">
        <v>274</v>
      </c>
      <c r="O21" s="25" t="s">
        <v>275</v>
      </c>
      <c r="P21" s="25" t="s">
        <v>276</v>
      </c>
      <c r="Q21" s="25" t="s">
        <v>277</v>
      </c>
      <c r="R21" s="25" t="s">
        <v>278</v>
      </c>
      <c r="S21" s="25" t="s">
        <v>279</v>
      </c>
      <c r="T21" s="25" t="s">
        <v>280</v>
      </c>
      <c r="U21" s="25" t="s">
        <v>281</v>
      </c>
      <c r="V21" s="25" t="s">
        <v>282</v>
      </c>
      <c r="W21" s="25" t="s">
        <v>283</v>
      </c>
      <c r="X21" s="25" t="s">
        <v>284</v>
      </c>
    </row>
    <row r="22" spans="1:24">
      <c r="A22" s="26"/>
      <c r="B22" s="26">
        <v>2028</v>
      </c>
      <c r="C22" s="26">
        <v>2029</v>
      </c>
      <c r="D22" s="26">
        <v>2030</v>
      </c>
      <c r="E22" s="26">
        <v>2031</v>
      </c>
      <c r="F22" s="26">
        <v>2032</v>
      </c>
      <c r="G22" s="26">
        <v>2033</v>
      </c>
      <c r="H22" s="26">
        <v>2034</v>
      </c>
      <c r="I22" s="26">
        <v>2035</v>
      </c>
      <c r="J22" s="26">
        <v>2036</v>
      </c>
      <c r="K22" s="26">
        <v>2037</v>
      </c>
      <c r="L22" s="26">
        <v>2038</v>
      </c>
      <c r="M22" s="26">
        <v>2039</v>
      </c>
      <c r="N22" s="26">
        <v>2040</v>
      </c>
      <c r="O22" s="26">
        <v>2041</v>
      </c>
      <c r="P22" s="26">
        <v>2042</v>
      </c>
      <c r="Q22" s="26">
        <v>2043</v>
      </c>
      <c r="R22" s="26">
        <v>2044</v>
      </c>
      <c r="S22" s="26">
        <v>2045</v>
      </c>
      <c r="T22" s="26">
        <v>2046</v>
      </c>
      <c r="U22" s="26">
        <v>2047</v>
      </c>
      <c r="V22" s="26">
        <v>2048</v>
      </c>
      <c r="W22" s="26">
        <v>2049</v>
      </c>
      <c r="X22" s="26">
        <v>2050</v>
      </c>
    </row>
    <row r="23" spans="1:24">
      <c r="A23" s="13" t="s">
        <v>285</v>
      </c>
      <c r="B23" s="13">
        <v>352.6</v>
      </c>
      <c r="C23" s="13">
        <v>352.6</v>
      </c>
      <c r="D23" s="13">
        <v>352.6</v>
      </c>
      <c r="E23" s="13">
        <v>352.6</v>
      </c>
      <c r="F23" s="13">
        <v>352.6</v>
      </c>
      <c r="G23" s="13">
        <v>352.6</v>
      </c>
      <c r="H23" s="13">
        <v>352.6</v>
      </c>
      <c r="I23" s="13">
        <v>352.6</v>
      </c>
      <c r="J23" s="13">
        <v>352.6</v>
      </c>
      <c r="K23" s="13">
        <v>352.6</v>
      </c>
      <c r="L23" s="13">
        <v>352.6</v>
      </c>
      <c r="M23" s="13">
        <v>352.6</v>
      </c>
      <c r="N23" s="13">
        <v>352.6</v>
      </c>
      <c r="O23" s="13">
        <v>352.6</v>
      </c>
      <c r="P23" s="13">
        <v>352.6</v>
      </c>
      <c r="Q23" s="13">
        <v>352.6</v>
      </c>
      <c r="R23" s="13">
        <v>352.6</v>
      </c>
      <c r="S23" s="13">
        <v>352.6</v>
      </c>
      <c r="T23" s="13">
        <v>352.6</v>
      </c>
      <c r="U23" s="13">
        <v>352.6</v>
      </c>
      <c r="V23" s="13">
        <v>352.6</v>
      </c>
      <c r="W23" s="13">
        <v>352.6</v>
      </c>
      <c r="X23" s="13">
        <v>352.6</v>
      </c>
    </row>
    <row r="24" spans="1:24">
      <c r="A24" s="13" t="s">
        <v>286</v>
      </c>
      <c r="B24" s="13">
        <v>284.5</v>
      </c>
      <c r="C24" s="13">
        <v>284.5</v>
      </c>
      <c r="D24" s="13">
        <v>284.5</v>
      </c>
      <c r="E24" s="13">
        <v>284.5</v>
      </c>
      <c r="F24" s="13">
        <v>284.5</v>
      </c>
      <c r="G24" s="13">
        <v>284.5</v>
      </c>
      <c r="H24" s="13">
        <v>284.5</v>
      </c>
      <c r="I24" s="13">
        <v>284.5</v>
      </c>
      <c r="J24" s="13">
        <v>284.5</v>
      </c>
      <c r="K24" s="13">
        <v>284.5</v>
      </c>
      <c r="L24" s="13">
        <v>284.5</v>
      </c>
      <c r="M24" s="13">
        <v>284.5</v>
      </c>
      <c r="N24" s="13">
        <v>284.5</v>
      </c>
      <c r="O24" s="13">
        <v>284.5</v>
      </c>
      <c r="P24" s="13">
        <v>284.5</v>
      </c>
      <c r="Q24" s="13">
        <v>284.5</v>
      </c>
      <c r="R24" s="13">
        <v>284.5</v>
      </c>
      <c r="S24" s="13">
        <v>284.5</v>
      </c>
      <c r="T24" s="13">
        <v>284.5</v>
      </c>
      <c r="U24" s="13">
        <v>284.5</v>
      </c>
      <c r="V24" s="13">
        <v>284.5</v>
      </c>
      <c r="W24" s="13">
        <v>284.5</v>
      </c>
      <c r="X24" s="13">
        <v>284.5</v>
      </c>
    </row>
    <row r="25" spans="1:24">
      <c r="A25" s="27" t="s">
        <v>287</v>
      </c>
      <c r="B25" s="28">
        <v>68.099999999999994</v>
      </c>
      <c r="C25" s="28">
        <v>136.19999999999999</v>
      </c>
      <c r="D25" s="28">
        <v>204.4</v>
      </c>
      <c r="E25" s="28">
        <v>272.5</v>
      </c>
      <c r="F25" s="28">
        <v>340.6</v>
      </c>
      <c r="G25" s="28">
        <v>408.7</v>
      </c>
      <c r="H25" s="28">
        <v>476.9</v>
      </c>
      <c r="I25" s="28">
        <v>545</v>
      </c>
      <c r="J25" s="28">
        <v>613.1</v>
      </c>
      <c r="K25" s="28">
        <v>681.2</v>
      </c>
      <c r="L25" s="28">
        <v>749.3</v>
      </c>
      <c r="M25" s="28">
        <v>817.4</v>
      </c>
      <c r="N25" s="28">
        <v>885.5</v>
      </c>
      <c r="O25" s="28">
        <v>953.6</v>
      </c>
      <c r="P25" s="28">
        <v>1021.7</v>
      </c>
      <c r="Q25" s="28">
        <v>1089.8</v>
      </c>
      <c r="R25" s="28">
        <v>1157.9000000000001</v>
      </c>
      <c r="S25" s="28">
        <v>1226</v>
      </c>
      <c r="T25" s="28">
        <v>1294.0999999999999</v>
      </c>
      <c r="U25" s="28">
        <v>1362.2</v>
      </c>
      <c r="V25" s="28">
        <v>1430.3</v>
      </c>
      <c r="W25" s="28">
        <v>1498.4</v>
      </c>
      <c r="X25" s="28">
        <v>1566.5</v>
      </c>
    </row>
    <row r="26" spans="1:24">
      <c r="A26" s="13" t="s">
        <v>288</v>
      </c>
      <c r="B26" s="29">
        <v>204.3</v>
      </c>
      <c r="C26" s="29">
        <v>408.6</v>
      </c>
      <c r="D26" s="29">
        <v>613.20000000000005</v>
      </c>
      <c r="E26" s="29">
        <v>817.5</v>
      </c>
      <c r="F26" s="29">
        <v>1021.8</v>
      </c>
      <c r="G26" s="29">
        <v>1226.0999999999999</v>
      </c>
      <c r="H26" s="29">
        <v>1430.7</v>
      </c>
      <c r="I26" s="29">
        <v>1635</v>
      </c>
      <c r="J26" s="29">
        <v>1839.3</v>
      </c>
      <c r="K26" s="29">
        <v>2043.6</v>
      </c>
      <c r="L26" s="29">
        <v>2247.9</v>
      </c>
      <c r="M26" s="29">
        <v>2452.1999999999998</v>
      </c>
      <c r="N26" s="29">
        <v>2656.5</v>
      </c>
      <c r="O26" s="29">
        <v>2860.8</v>
      </c>
      <c r="P26" s="29">
        <v>3065.1</v>
      </c>
      <c r="Q26" s="29">
        <v>3269.4</v>
      </c>
      <c r="R26" s="29">
        <v>3473.7</v>
      </c>
      <c r="S26" s="29">
        <v>3678</v>
      </c>
      <c r="T26" s="29">
        <v>3882.3</v>
      </c>
      <c r="U26" s="29">
        <v>4086.6</v>
      </c>
      <c r="V26" s="29">
        <v>4290.8999999999996</v>
      </c>
      <c r="W26" s="29">
        <v>4495.2</v>
      </c>
      <c r="X26" s="29">
        <v>4699.5</v>
      </c>
    </row>
    <row r="27" spans="1:24">
      <c r="A27" s="30" t="s">
        <v>289</v>
      </c>
      <c r="B27" s="31">
        <v>408.6</v>
      </c>
      <c r="C27" s="31">
        <v>817.2</v>
      </c>
      <c r="D27" s="31">
        <v>1226.4000000000001</v>
      </c>
      <c r="E27" s="31">
        <v>1635</v>
      </c>
      <c r="F27" s="31">
        <v>2043.6</v>
      </c>
      <c r="G27" s="31">
        <v>2452.1999999999998</v>
      </c>
      <c r="H27" s="31">
        <v>2861.4</v>
      </c>
      <c r="I27" s="31">
        <v>3270</v>
      </c>
      <c r="J27" s="31">
        <v>3678.6</v>
      </c>
      <c r="K27" s="31">
        <v>4087.2</v>
      </c>
      <c r="L27" s="31">
        <v>4495.8</v>
      </c>
      <c r="M27" s="31">
        <v>4904.3999999999996</v>
      </c>
      <c r="N27" s="31">
        <v>5313</v>
      </c>
      <c r="O27" s="31">
        <v>5721.6</v>
      </c>
      <c r="P27" s="31">
        <v>6130.2</v>
      </c>
      <c r="Q27" s="31">
        <v>6538.8</v>
      </c>
      <c r="R27" s="31">
        <v>6947.4</v>
      </c>
      <c r="S27" s="31">
        <v>7356</v>
      </c>
      <c r="T27" s="31">
        <v>7764.6</v>
      </c>
      <c r="U27" s="31">
        <v>8173.2</v>
      </c>
      <c r="V27" s="31">
        <v>8581.7999999999993</v>
      </c>
      <c r="W27" s="31">
        <v>8990.4</v>
      </c>
      <c r="X27" s="31">
        <v>9399</v>
      </c>
    </row>
    <row r="32" spans="1:24">
      <c r="A32" s="37" t="s">
        <v>290</v>
      </c>
      <c r="B32" s="287">
        <v>1.023E-2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B3:AA15"/>
  <sheetViews>
    <sheetView workbookViewId="0">
      <selection activeCell="E14" sqref="E14"/>
    </sheetView>
  </sheetViews>
  <sheetFormatPr defaultRowHeight="15"/>
  <cols>
    <col min="2" max="2" width="31" customWidth="1"/>
    <col min="3" max="3" width="10.5703125" customWidth="1"/>
    <col min="4" max="4" width="18.5703125" customWidth="1"/>
  </cols>
  <sheetData>
    <row r="3" spans="2:27" ht="30">
      <c r="B3" s="38" t="s">
        <v>291</v>
      </c>
      <c r="C3" s="40"/>
    </row>
    <row r="4" spans="2:27">
      <c r="B4" s="37">
        <f>AVERAGE('Engine Emission Conversions'!F12:F17)</f>
        <v>107.15925000000003</v>
      </c>
      <c r="C4" s="39"/>
    </row>
    <row r="6" spans="2:27">
      <c r="B6" s="37" t="s">
        <v>292</v>
      </c>
      <c r="D6" s="41" t="s">
        <v>293</v>
      </c>
      <c r="E6" s="41">
        <v>2028</v>
      </c>
      <c r="F6" s="41">
        <v>2029</v>
      </c>
      <c r="G6" s="41">
        <v>2030</v>
      </c>
      <c r="H6" s="41">
        <v>2031</v>
      </c>
      <c r="I6" s="41">
        <v>2032</v>
      </c>
      <c r="J6" s="41">
        <v>2033</v>
      </c>
      <c r="K6" s="41">
        <v>2034</v>
      </c>
      <c r="L6" s="41">
        <v>2035</v>
      </c>
      <c r="M6" s="41">
        <v>2036</v>
      </c>
      <c r="N6" s="41">
        <v>2037</v>
      </c>
      <c r="O6" s="41">
        <v>2038</v>
      </c>
      <c r="P6" s="41">
        <v>2039</v>
      </c>
      <c r="Q6" s="41">
        <v>2040</v>
      </c>
      <c r="R6" s="41">
        <v>2041</v>
      </c>
      <c r="S6" s="41">
        <v>2042</v>
      </c>
      <c r="T6" s="41">
        <v>2043</v>
      </c>
      <c r="U6" s="41">
        <v>2044</v>
      </c>
      <c r="V6" s="41">
        <v>2045</v>
      </c>
      <c r="W6" s="41">
        <v>2046</v>
      </c>
      <c r="X6" s="41">
        <v>2047</v>
      </c>
      <c r="Y6" s="41">
        <v>2048</v>
      </c>
      <c r="Z6" s="41">
        <v>2049</v>
      </c>
      <c r="AA6" s="41">
        <v>2050</v>
      </c>
    </row>
    <row r="7" spans="2:27">
      <c r="B7" s="37" t="s">
        <v>294</v>
      </c>
      <c r="D7" s="37" t="s">
        <v>295</v>
      </c>
      <c r="E7" s="37">
        <f>B4*6</f>
        <v>642.95550000000014</v>
      </c>
      <c r="F7" s="37">
        <f>E7+$E$7</f>
        <v>1285.9110000000003</v>
      </c>
      <c r="G7" s="37">
        <f t="shared" ref="G7:AA7" si="0">F7+$E$7</f>
        <v>1928.8665000000005</v>
      </c>
      <c r="H7" s="37">
        <f t="shared" si="0"/>
        <v>2571.8220000000006</v>
      </c>
      <c r="I7" s="37">
        <f t="shared" si="0"/>
        <v>3214.7775000000006</v>
      </c>
      <c r="J7" s="37">
        <f t="shared" si="0"/>
        <v>3857.7330000000006</v>
      </c>
      <c r="K7" s="37">
        <f t="shared" si="0"/>
        <v>4500.6885000000011</v>
      </c>
      <c r="L7" s="37">
        <f t="shared" si="0"/>
        <v>5143.6440000000011</v>
      </c>
      <c r="M7" s="37">
        <f t="shared" si="0"/>
        <v>5786.5995000000012</v>
      </c>
      <c r="N7" s="37">
        <f t="shared" si="0"/>
        <v>6429.5550000000012</v>
      </c>
      <c r="O7" s="37">
        <f t="shared" si="0"/>
        <v>7072.5105000000012</v>
      </c>
      <c r="P7" s="37">
        <f t="shared" si="0"/>
        <v>7715.4660000000013</v>
      </c>
      <c r="Q7" s="37">
        <f t="shared" si="0"/>
        <v>8358.4215000000022</v>
      </c>
      <c r="R7" s="37">
        <f t="shared" si="0"/>
        <v>9001.3770000000022</v>
      </c>
      <c r="S7" s="37">
        <f t="shared" si="0"/>
        <v>9644.3325000000023</v>
      </c>
      <c r="T7" s="37">
        <f t="shared" si="0"/>
        <v>10287.288000000002</v>
      </c>
      <c r="U7" s="37">
        <f t="shared" si="0"/>
        <v>10930.243500000002</v>
      </c>
      <c r="V7" s="37">
        <f t="shared" si="0"/>
        <v>11573.199000000002</v>
      </c>
      <c r="W7" s="37">
        <f t="shared" si="0"/>
        <v>12216.154500000002</v>
      </c>
      <c r="X7" s="37">
        <f t="shared" si="0"/>
        <v>12859.110000000002</v>
      </c>
      <c r="Y7" s="37">
        <f t="shared" si="0"/>
        <v>13502.065500000002</v>
      </c>
      <c r="Z7" s="37">
        <f t="shared" si="0"/>
        <v>14145.021000000002</v>
      </c>
      <c r="AA7" s="37">
        <f t="shared" si="0"/>
        <v>14787.976500000002</v>
      </c>
    </row>
    <row r="8" spans="2:27" ht="45">
      <c r="B8" s="264" t="s">
        <v>296</v>
      </c>
    </row>
    <row r="14" spans="2:27" ht="30">
      <c r="D14" s="42" t="s">
        <v>297</v>
      </c>
      <c r="E14" s="43">
        <f>SUM(E7:G7)</f>
        <v>3857.7330000000011</v>
      </c>
    </row>
    <row r="15" spans="2:27" ht="30">
      <c r="D15" s="42" t="s">
        <v>298</v>
      </c>
      <c r="E15" s="43">
        <f>SUM(E7:AA7)</f>
        <v>177455.71800000002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25"/>
  <sheetViews>
    <sheetView workbookViewId="0">
      <selection activeCell="A15" sqref="A15"/>
    </sheetView>
  </sheetViews>
  <sheetFormatPr defaultRowHeight="15"/>
  <cols>
    <col min="1" max="1" width="161.28515625" customWidth="1"/>
  </cols>
  <sheetData>
    <row r="1" spans="1:1">
      <c r="A1" s="6" t="s">
        <v>0</v>
      </c>
    </row>
    <row r="2" spans="1:1" ht="45">
      <c r="A2" s="4" t="s">
        <v>299</v>
      </c>
    </row>
    <row r="3" spans="1:1">
      <c r="A3" s="7"/>
    </row>
    <row r="4" spans="1:1">
      <c r="A4" s="7"/>
    </row>
    <row r="5" spans="1:1">
      <c r="A5" s="7"/>
    </row>
    <row r="6" spans="1:1">
      <c r="A6" s="7"/>
    </row>
    <row r="7" spans="1:1">
      <c r="A7" s="7"/>
    </row>
    <row r="8" spans="1:1">
      <c r="A8" s="7"/>
    </row>
    <row r="9" spans="1:1">
      <c r="A9" s="7"/>
    </row>
    <row r="10" spans="1:1">
      <c r="A10" s="7"/>
    </row>
    <row r="11" spans="1:1">
      <c r="A11" s="7"/>
    </row>
    <row r="12" spans="1:1">
      <c r="A12" s="7"/>
    </row>
    <row r="13" spans="1:1" ht="18" customHeight="1">
      <c r="A13" s="5" t="s">
        <v>6</v>
      </c>
    </row>
    <row r="14" spans="1:1">
      <c r="A14" s="44" t="s">
        <v>300</v>
      </c>
    </row>
    <row r="15" spans="1:1">
      <c r="A15" s="44" t="s">
        <v>301</v>
      </c>
    </row>
    <row r="16" spans="1:1">
      <c r="A16" s="44" t="s">
        <v>302</v>
      </c>
    </row>
    <row r="17" spans="1:1">
      <c r="A17" s="44" t="s">
        <v>303</v>
      </c>
    </row>
    <row r="18" spans="1:1">
      <c r="A18" s="44" t="s">
        <v>304</v>
      </c>
    </row>
    <row r="20" spans="1:1">
      <c r="A20" s="517" t="s">
        <v>305</v>
      </c>
    </row>
    <row r="21" spans="1:1">
      <c r="A21" s="518" t="s">
        <v>306</v>
      </c>
    </row>
    <row r="22" spans="1:1">
      <c r="A22" s="518" t="s">
        <v>307</v>
      </c>
    </row>
    <row r="23" spans="1:1">
      <c r="A23" s="518" t="s">
        <v>308</v>
      </c>
    </row>
    <row r="24" spans="1:1">
      <c r="A24" s="518" t="s">
        <v>309</v>
      </c>
    </row>
    <row r="25" spans="1:1">
      <c r="A25" s="518" t="s">
        <v>310</v>
      </c>
    </row>
  </sheetData>
  <hyperlinks>
    <hyperlink ref="A21" r:id="rId1"/>
    <hyperlink ref="A22" r:id="rId2"/>
    <hyperlink ref="A23" r:id="rId3"/>
    <hyperlink ref="A24" r:id="rId4"/>
    <hyperlink ref="A25" r:id="rId5"/>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6"/>
  <sheetViews>
    <sheetView topLeftCell="A10" workbookViewId="0">
      <selection activeCell="H36" sqref="H36"/>
    </sheetView>
  </sheetViews>
  <sheetFormatPr defaultRowHeight="15"/>
  <cols>
    <col min="1" max="1" width="14" customWidth="1"/>
    <col min="2" max="2" width="54" customWidth="1"/>
    <col min="7" max="7" width="16.85546875" customWidth="1"/>
    <col min="20" max="20" width="34.85546875" customWidth="1"/>
    <col min="21" max="22" width="13.5703125" customWidth="1"/>
  </cols>
  <sheetData>
    <row r="1" spans="1:16" ht="28.5">
      <c r="A1" s="288" t="s">
        <v>311</v>
      </c>
      <c r="B1" s="123"/>
      <c r="C1" s="123"/>
      <c r="D1" s="123"/>
      <c r="E1" s="123"/>
      <c r="F1" s="123"/>
      <c r="G1" s="123"/>
      <c r="H1" s="123"/>
      <c r="I1" s="123"/>
      <c r="J1" s="123"/>
      <c r="K1" s="123"/>
      <c r="L1" s="123"/>
      <c r="M1" s="123"/>
      <c r="N1" s="123"/>
      <c r="O1" s="123"/>
      <c r="P1" s="123"/>
    </row>
    <row r="2" spans="1:16">
      <c r="A2" s="123"/>
      <c r="B2" s="123"/>
      <c r="C2" s="123"/>
      <c r="D2" s="123"/>
      <c r="E2" s="123"/>
      <c r="F2" s="123"/>
      <c r="G2" s="123"/>
      <c r="H2" s="123"/>
      <c r="I2" s="123"/>
      <c r="J2" s="123"/>
      <c r="K2" s="123"/>
      <c r="L2" s="123"/>
      <c r="M2" s="123"/>
      <c r="N2" s="123"/>
      <c r="O2" s="123"/>
      <c r="P2" s="123"/>
    </row>
    <row r="3" spans="1:16">
      <c r="A3" s="123"/>
      <c r="B3" s="123" t="s">
        <v>312</v>
      </c>
      <c r="C3" s="123"/>
      <c r="D3" s="123"/>
      <c r="E3" s="123"/>
      <c r="F3" s="123"/>
      <c r="G3" s="123"/>
      <c r="H3" s="123"/>
      <c r="I3" s="123"/>
      <c r="J3" s="306"/>
      <c r="K3" s="307"/>
      <c r="L3" s="307"/>
      <c r="M3" s="307"/>
      <c r="N3" s="123"/>
      <c r="O3" s="123"/>
      <c r="P3" s="123"/>
    </row>
    <row r="4" spans="1:16">
      <c r="A4" s="123"/>
      <c r="B4" s="123"/>
      <c r="C4" s="123"/>
      <c r="D4" s="123"/>
      <c r="E4" s="123"/>
      <c r="F4" s="123"/>
      <c r="G4" s="123"/>
      <c r="H4" s="123"/>
      <c r="I4" s="123"/>
      <c r="J4" s="306"/>
      <c r="K4" s="307"/>
      <c r="L4" s="307"/>
      <c r="M4" s="307"/>
      <c r="N4" s="123"/>
      <c r="O4" s="123"/>
      <c r="P4" s="123"/>
    </row>
    <row r="5" spans="1:16">
      <c r="A5" s="123"/>
      <c r="B5" s="139" t="s">
        <v>313</v>
      </c>
      <c r="C5" s="139" t="s">
        <v>314</v>
      </c>
      <c r="D5" s="139" t="s">
        <v>315</v>
      </c>
      <c r="E5" s="123"/>
      <c r="F5" s="123"/>
      <c r="G5" s="123"/>
      <c r="H5" s="123"/>
      <c r="I5" s="123"/>
      <c r="J5" s="306"/>
      <c r="K5" s="307"/>
      <c r="L5" s="307"/>
      <c r="M5" s="307"/>
      <c r="N5" s="123"/>
      <c r="O5" s="123"/>
      <c r="P5" s="123"/>
    </row>
    <row r="6" spans="1:16">
      <c r="A6" s="123"/>
      <c r="B6" s="123" t="s">
        <v>316</v>
      </c>
      <c r="C6" s="292">
        <v>383</v>
      </c>
      <c r="D6" s="293" t="s">
        <v>317</v>
      </c>
      <c r="E6" s="123"/>
      <c r="F6" s="123"/>
      <c r="G6" s="123"/>
      <c r="H6" s="123"/>
      <c r="I6" s="123"/>
      <c r="J6" s="123"/>
      <c r="K6" s="123"/>
      <c r="L6" s="123"/>
      <c r="M6" s="123"/>
      <c r="N6" s="123"/>
      <c r="O6" s="123"/>
      <c r="P6" s="123"/>
    </row>
    <row r="7" spans="1:16">
      <c r="A7" s="123"/>
      <c r="B7" s="123" t="s">
        <v>318</v>
      </c>
      <c r="C7" s="294">
        <v>5464</v>
      </c>
      <c r="D7" s="293" t="s">
        <v>319</v>
      </c>
      <c r="E7" s="123"/>
      <c r="F7" s="123"/>
      <c r="G7" s="123"/>
      <c r="H7" s="123"/>
      <c r="I7" s="123"/>
      <c r="J7" s="123"/>
      <c r="K7" s="123"/>
      <c r="L7" s="123"/>
      <c r="M7" s="123"/>
      <c r="N7" s="123"/>
      <c r="O7" s="123"/>
      <c r="P7" s="123"/>
    </row>
    <row r="8" spans="1:16">
      <c r="A8" s="123"/>
      <c r="B8" s="123" t="s">
        <v>320</v>
      </c>
      <c r="C8" s="292">
        <v>0.443</v>
      </c>
      <c r="D8" s="295" t="s">
        <v>321</v>
      </c>
      <c r="E8" s="123"/>
      <c r="F8" s="123"/>
      <c r="G8" s="123"/>
      <c r="H8" s="123"/>
      <c r="I8" s="123"/>
      <c r="J8" s="123"/>
      <c r="K8" s="123"/>
      <c r="L8" s="123"/>
      <c r="M8" s="123"/>
      <c r="N8" s="123"/>
      <c r="O8" s="123"/>
      <c r="P8" s="123"/>
    </row>
    <row r="9" spans="1:16">
      <c r="A9" s="123"/>
      <c r="B9" s="123" t="s">
        <v>322</v>
      </c>
      <c r="C9" s="292">
        <v>87</v>
      </c>
      <c r="D9" s="296" t="s">
        <v>323</v>
      </c>
      <c r="E9" s="123"/>
      <c r="F9" s="123"/>
      <c r="G9" s="123"/>
      <c r="H9" s="123"/>
      <c r="I9" s="123"/>
      <c r="J9" s="123"/>
      <c r="K9" s="123"/>
      <c r="L9" s="123"/>
      <c r="M9" s="123"/>
      <c r="N9" s="123"/>
      <c r="O9" s="123"/>
      <c r="P9" s="123"/>
    </row>
    <row r="10" spans="1:16">
      <c r="A10" s="123"/>
      <c r="B10" s="123"/>
      <c r="C10" s="123"/>
      <c r="D10" s="297"/>
      <c r="E10" s="123"/>
      <c r="F10" s="123"/>
      <c r="G10" s="123"/>
      <c r="H10" s="123"/>
      <c r="I10" s="123"/>
      <c r="J10" s="123"/>
      <c r="K10" s="123"/>
      <c r="L10" s="123"/>
      <c r="M10" s="123"/>
      <c r="N10" s="123"/>
      <c r="O10" s="123"/>
      <c r="P10" s="123"/>
    </row>
    <row r="11" spans="1:16">
      <c r="A11" s="123"/>
      <c r="B11" s="139" t="s">
        <v>324</v>
      </c>
      <c r="C11" s="139" t="s">
        <v>314</v>
      </c>
      <c r="D11" s="139" t="s">
        <v>315</v>
      </c>
      <c r="E11" s="123"/>
      <c r="F11" s="123"/>
      <c r="G11" s="123"/>
      <c r="H11" s="123"/>
      <c r="I11" s="123"/>
      <c r="J11" s="123"/>
      <c r="K11" s="123"/>
      <c r="L11" s="123"/>
      <c r="M11" s="123"/>
      <c r="N11" s="123"/>
      <c r="O11" s="123"/>
      <c r="P11" s="123"/>
    </row>
    <row r="12" spans="1:16">
      <c r="A12" s="123"/>
      <c r="B12" s="123" t="s">
        <v>325</v>
      </c>
      <c r="C12" s="123">
        <v>8.8870000000000008E-3</v>
      </c>
      <c r="D12" s="298" t="s">
        <v>326</v>
      </c>
      <c r="E12" s="123"/>
      <c r="F12" s="123"/>
      <c r="G12" s="123"/>
      <c r="H12" s="123"/>
      <c r="I12" s="123"/>
      <c r="J12" s="123"/>
      <c r="K12" s="123"/>
      <c r="L12" s="123"/>
      <c r="M12" s="123"/>
      <c r="N12" s="299"/>
      <c r="O12" s="123"/>
      <c r="P12" s="123"/>
    </row>
    <row r="13" spans="1:16">
      <c r="A13" s="123"/>
      <c r="B13" s="123" t="s">
        <v>327</v>
      </c>
      <c r="C13" s="123">
        <v>1.0070490000000001</v>
      </c>
      <c r="D13" s="298" t="s">
        <v>326</v>
      </c>
      <c r="E13" s="123"/>
      <c r="F13" s="123"/>
      <c r="G13" s="123"/>
      <c r="H13" s="123"/>
      <c r="I13" s="123"/>
      <c r="J13" s="123"/>
      <c r="K13" s="123"/>
      <c r="L13" s="123"/>
      <c r="M13" s="123"/>
      <c r="N13" s="123"/>
      <c r="O13" s="123"/>
      <c r="P13" s="123"/>
    </row>
    <row r="14" spans="1:16">
      <c r="A14" s="123"/>
      <c r="B14" s="123" t="s">
        <v>328</v>
      </c>
      <c r="C14" s="123">
        <v>276.67</v>
      </c>
      <c r="D14" s="298" t="s">
        <v>329</v>
      </c>
      <c r="E14" s="123"/>
      <c r="F14" s="123"/>
      <c r="G14" s="123"/>
      <c r="H14" s="123"/>
      <c r="I14" s="123"/>
      <c r="J14" s="123"/>
      <c r="K14" s="123"/>
      <c r="L14" s="123"/>
      <c r="M14" s="123"/>
      <c r="N14" s="299"/>
      <c r="O14" s="123"/>
      <c r="P14" s="123"/>
    </row>
    <row r="15" spans="1:16">
      <c r="A15" s="123"/>
      <c r="B15" s="123" t="s">
        <v>330</v>
      </c>
      <c r="C15" s="123">
        <v>25.95</v>
      </c>
      <c r="D15" s="298" t="s">
        <v>329</v>
      </c>
      <c r="E15" s="123"/>
      <c r="F15" s="123"/>
      <c r="G15" s="123"/>
      <c r="H15" s="123"/>
      <c r="I15" s="123"/>
      <c r="J15" s="123"/>
      <c r="K15" s="123"/>
      <c r="L15" s="123"/>
      <c r="M15" s="123"/>
      <c r="N15" s="123"/>
      <c r="O15" s="123"/>
      <c r="P15" s="123"/>
    </row>
    <row r="16" spans="1:16">
      <c r="A16" s="123"/>
      <c r="B16" s="123" t="s">
        <v>331</v>
      </c>
      <c r="C16" s="123">
        <v>3.57</v>
      </c>
      <c r="D16" s="298" t="s">
        <v>329</v>
      </c>
      <c r="E16" s="123"/>
      <c r="F16" s="123"/>
      <c r="G16" s="123"/>
      <c r="H16" s="123"/>
      <c r="I16" s="123"/>
      <c r="J16" s="123"/>
      <c r="K16" s="123"/>
      <c r="L16" s="123"/>
      <c r="M16" s="123"/>
      <c r="N16" s="123"/>
      <c r="O16" s="123"/>
      <c r="P16" s="123"/>
    </row>
    <row r="17" spans="1:16">
      <c r="A17" s="123"/>
      <c r="B17" s="123" t="s">
        <v>332</v>
      </c>
      <c r="C17" s="123">
        <v>28</v>
      </c>
      <c r="D17" s="298" t="s">
        <v>333</v>
      </c>
      <c r="E17" s="123"/>
      <c r="F17" s="123"/>
      <c r="G17" s="123"/>
      <c r="H17" s="123"/>
      <c r="I17" s="123"/>
      <c r="J17" s="123"/>
      <c r="K17" s="123"/>
      <c r="L17" s="123"/>
      <c r="M17" s="123"/>
      <c r="N17" s="123"/>
      <c r="O17" s="123"/>
      <c r="P17" s="123"/>
    </row>
    <row r="18" spans="1:16">
      <c r="A18" s="123"/>
      <c r="B18" s="123" t="s">
        <v>334</v>
      </c>
      <c r="C18" s="123">
        <v>265</v>
      </c>
      <c r="D18" s="298" t="s">
        <v>333</v>
      </c>
      <c r="E18" s="123"/>
      <c r="F18" s="123"/>
      <c r="G18" s="123"/>
      <c r="H18" s="123"/>
      <c r="I18" s="123"/>
      <c r="J18" s="123"/>
      <c r="K18" s="123"/>
      <c r="L18" s="123"/>
      <c r="M18" s="123"/>
      <c r="N18" s="123"/>
      <c r="O18" s="123"/>
      <c r="P18" s="123"/>
    </row>
    <row r="19" spans="1:16">
      <c r="A19" s="123"/>
      <c r="B19" s="123" t="s">
        <v>335</v>
      </c>
      <c r="C19" s="123">
        <v>278.3</v>
      </c>
      <c r="D19" s="123" t="s">
        <v>336</v>
      </c>
      <c r="E19" s="123"/>
      <c r="F19" s="123"/>
      <c r="G19" s="123"/>
      <c r="H19" s="123"/>
      <c r="I19" s="123"/>
      <c r="J19" s="123"/>
      <c r="K19" s="123"/>
      <c r="L19" s="123"/>
      <c r="M19" s="123"/>
      <c r="N19" s="123"/>
      <c r="O19" s="123"/>
      <c r="P19" s="123"/>
    </row>
    <row r="20" spans="1:16">
      <c r="A20" s="123"/>
      <c r="B20" s="123"/>
      <c r="C20" s="123"/>
      <c r="D20" s="123"/>
      <c r="E20" s="123"/>
      <c r="F20" s="123"/>
      <c r="G20" s="123"/>
      <c r="H20" s="123"/>
      <c r="I20" s="123"/>
      <c r="J20" s="123"/>
      <c r="K20" s="123"/>
      <c r="L20" s="123"/>
      <c r="M20" s="123"/>
      <c r="N20" s="123"/>
      <c r="O20" s="123"/>
      <c r="P20" s="123"/>
    </row>
    <row r="21" spans="1:16">
      <c r="A21" s="123"/>
      <c r="B21" s="300" t="s">
        <v>337</v>
      </c>
      <c r="C21" s="123"/>
      <c r="D21" s="123"/>
      <c r="E21" s="123"/>
      <c r="F21" s="123"/>
      <c r="G21" s="123"/>
      <c r="H21" s="123"/>
      <c r="I21" s="123"/>
      <c r="J21" s="123"/>
      <c r="K21" s="123"/>
      <c r="L21" s="123"/>
      <c r="M21" s="123"/>
      <c r="N21" s="123"/>
      <c r="O21" s="123"/>
      <c r="P21" s="123"/>
    </row>
    <row r="22" spans="1:16">
      <c r="A22" s="123"/>
      <c r="B22" s="301" t="s">
        <v>338</v>
      </c>
      <c r="C22" s="123"/>
      <c r="D22" s="123"/>
      <c r="E22" s="123"/>
      <c r="F22" s="123"/>
      <c r="G22" s="123"/>
      <c r="H22" s="123"/>
      <c r="I22" s="123"/>
      <c r="J22" s="123"/>
      <c r="K22" s="123"/>
      <c r="L22" s="123"/>
      <c r="M22" s="123"/>
      <c r="N22" s="123"/>
      <c r="O22" s="123"/>
      <c r="P22" s="123"/>
    </row>
    <row r="23" spans="1:16">
      <c r="A23" s="123"/>
      <c r="B23" s="301" t="s">
        <v>339</v>
      </c>
      <c r="C23" s="123"/>
      <c r="D23" s="123"/>
      <c r="E23" s="123"/>
      <c r="F23" s="123"/>
      <c r="G23" s="123"/>
      <c r="H23" s="123"/>
      <c r="I23" s="123"/>
      <c r="J23" s="123"/>
      <c r="K23" s="123"/>
      <c r="L23" s="123"/>
      <c r="M23" s="123"/>
      <c r="N23" s="123"/>
      <c r="O23" s="123"/>
      <c r="P23" s="123"/>
    </row>
    <row r="24" spans="1:16">
      <c r="A24" s="123"/>
      <c r="B24" s="123"/>
      <c r="C24" s="123">
        <f>C6*C9*C12*C13</f>
        <v>298.21110315162304</v>
      </c>
      <c r="D24" s="123" t="s">
        <v>340</v>
      </c>
      <c r="E24" s="123"/>
      <c r="F24" s="123"/>
      <c r="G24" s="123"/>
      <c r="H24" s="123"/>
      <c r="I24" s="123"/>
      <c r="J24" s="123"/>
      <c r="K24" s="123"/>
      <c r="L24" s="123"/>
      <c r="M24" s="123"/>
      <c r="N24" s="123"/>
      <c r="O24" s="123"/>
      <c r="P24" s="123"/>
    </row>
    <row r="25" spans="1:16">
      <c r="A25" s="123"/>
      <c r="B25" s="123"/>
      <c r="C25" s="123">
        <f>C7*C8*C9*C19/1000/1000</f>
        <v>58.606647079200002</v>
      </c>
      <c r="D25" s="123" t="s">
        <v>341</v>
      </c>
      <c r="E25" s="123"/>
      <c r="F25" s="123"/>
      <c r="G25" s="123"/>
      <c r="H25" s="123"/>
      <c r="I25" s="123"/>
      <c r="J25" s="123"/>
      <c r="K25" s="123"/>
      <c r="L25" s="123"/>
      <c r="M25" s="123"/>
      <c r="N25" s="123"/>
      <c r="O25" s="123"/>
      <c r="P25" s="123"/>
    </row>
    <row r="26" spans="1:16" ht="28.5">
      <c r="A26" s="123"/>
      <c r="B26" s="302" t="s">
        <v>342</v>
      </c>
      <c r="C26" s="123"/>
      <c r="D26" s="123"/>
      <c r="E26" s="123"/>
      <c r="F26" s="123"/>
      <c r="G26" s="123"/>
      <c r="H26" s="123"/>
      <c r="I26" s="123"/>
      <c r="J26" s="123"/>
      <c r="K26" s="123"/>
      <c r="L26" s="123"/>
      <c r="M26" s="123"/>
      <c r="N26" s="123"/>
      <c r="O26" s="123"/>
      <c r="P26" s="123"/>
    </row>
    <row r="27" spans="1:16" ht="28.5">
      <c r="A27" s="123"/>
      <c r="B27" s="302">
        <f>ROUND(C24-C25,2)</f>
        <v>239.6</v>
      </c>
      <c r="C27" s="303" t="s">
        <v>343</v>
      </c>
      <c r="D27" s="123"/>
      <c r="E27" s="302"/>
      <c r="F27" s="302"/>
      <c r="G27" s="123"/>
      <c r="H27" s="301"/>
      <c r="I27" s="304"/>
      <c r="J27" s="302"/>
      <c r="K27" s="123"/>
      <c r="L27" s="123"/>
      <c r="M27" s="123"/>
      <c r="N27" s="123"/>
      <c r="O27" s="123"/>
      <c r="P27" s="123"/>
    </row>
    <row r="28" spans="1:16">
      <c r="A28" s="123"/>
      <c r="B28" s="123"/>
      <c r="C28" s="123"/>
      <c r="D28" s="123"/>
      <c r="E28" s="123"/>
      <c r="F28" s="123"/>
      <c r="G28" s="123"/>
      <c r="H28" s="123"/>
      <c r="I28" s="123"/>
      <c r="J28" s="123"/>
      <c r="K28" s="123"/>
      <c r="L28" s="123"/>
      <c r="M28" s="123"/>
      <c r="N28" s="123"/>
      <c r="O28" s="123"/>
      <c r="P28" s="123"/>
    </row>
    <row r="29" spans="1:16">
      <c r="A29" s="123"/>
      <c r="B29" s="299" t="s">
        <v>344</v>
      </c>
      <c r="C29" s="305">
        <f>SUM(C36:H36)</f>
        <v>1015.904</v>
      </c>
      <c r="D29" s="299" t="s">
        <v>343</v>
      </c>
      <c r="E29" s="123"/>
      <c r="F29" s="123"/>
      <c r="G29" s="123"/>
      <c r="H29" s="123"/>
      <c r="I29" s="123"/>
      <c r="J29" s="123"/>
      <c r="K29" s="123"/>
      <c r="L29" s="123"/>
      <c r="M29" s="123"/>
      <c r="N29" s="123"/>
      <c r="O29" s="123"/>
      <c r="P29" s="123"/>
    </row>
    <row r="30" spans="1:16">
      <c r="A30" s="123"/>
      <c r="B30" s="299" t="s">
        <v>345</v>
      </c>
      <c r="C30" s="305">
        <f>C29+(B27*20)</f>
        <v>5807.9040000000005</v>
      </c>
      <c r="D30" s="299" t="s">
        <v>343</v>
      </c>
      <c r="E30" s="123"/>
      <c r="F30" s="123"/>
      <c r="G30" s="123"/>
      <c r="H30" s="123"/>
      <c r="I30" s="123"/>
      <c r="J30" s="123"/>
      <c r="K30" s="123"/>
      <c r="L30" s="123"/>
      <c r="M30" s="123"/>
      <c r="N30" s="123"/>
      <c r="O30" s="123"/>
      <c r="P30" s="123"/>
    </row>
    <row r="31" spans="1:16" ht="28.5">
      <c r="A31" s="123"/>
      <c r="B31" s="302"/>
      <c r="C31" s="302"/>
      <c r="D31" s="123"/>
      <c r="E31" s="123"/>
      <c r="F31" s="123"/>
      <c r="G31" s="123"/>
      <c r="H31" s="123"/>
      <c r="I31" s="123"/>
      <c r="J31" s="123"/>
      <c r="K31" s="123"/>
      <c r="L31" s="123"/>
      <c r="M31" s="123"/>
      <c r="N31" s="123"/>
      <c r="O31" s="123"/>
      <c r="P31" s="123"/>
    </row>
    <row r="32" spans="1:16">
      <c r="A32" s="123"/>
      <c r="B32" s="532"/>
      <c r="C32" s="532"/>
      <c r="D32" s="532"/>
      <c r="E32" s="532"/>
      <c r="F32" s="532"/>
      <c r="G32" s="532"/>
      <c r="H32" s="532"/>
      <c r="I32" s="532"/>
      <c r="J32" s="532"/>
      <c r="K32" s="123"/>
      <c r="L32" s="123"/>
      <c r="M32" s="123"/>
      <c r="N32" s="123"/>
      <c r="O32" s="123"/>
      <c r="P32" s="123"/>
    </row>
    <row r="33" spans="1:16">
      <c r="A33" s="123"/>
      <c r="B33" s="532" t="s">
        <v>346</v>
      </c>
      <c r="C33" s="532"/>
      <c r="D33" s="532"/>
      <c r="E33" s="532"/>
      <c r="F33" s="532"/>
      <c r="G33" s="532"/>
      <c r="H33" s="532"/>
      <c r="I33" s="532"/>
      <c r="J33" s="532"/>
      <c r="K33" s="123"/>
      <c r="L33" s="123"/>
      <c r="M33" s="123"/>
      <c r="N33" s="123"/>
      <c r="O33" s="123"/>
      <c r="P33" s="123"/>
    </row>
    <row r="34" spans="1:16">
      <c r="A34" s="123"/>
      <c r="B34" s="532"/>
      <c r="C34" s="532"/>
      <c r="D34" s="532"/>
      <c r="E34" s="532"/>
      <c r="F34" s="532"/>
      <c r="G34" s="532"/>
      <c r="H34" s="532"/>
      <c r="I34" s="532"/>
      <c r="J34" s="532"/>
      <c r="K34" s="123"/>
      <c r="L34" s="123"/>
      <c r="M34" s="123"/>
      <c r="N34" s="123"/>
      <c r="O34" s="123"/>
      <c r="P34" s="123"/>
    </row>
    <row r="35" spans="1:16">
      <c r="B35" s="510" t="s">
        <v>293</v>
      </c>
      <c r="C35" s="510">
        <v>2025</v>
      </c>
      <c r="D35" s="510">
        <v>2026</v>
      </c>
      <c r="E35" s="510">
        <v>2027</v>
      </c>
      <c r="F35" s="510">
        <v>2028</v>
      </c>
      <c r="G35" s="510">
        <v>2029</v>
      </c>
      <c r="H35" s="510">
        <v>2030</v>
      </c>
    </row>
    <row r="36" spans="1:16">
      <c r="B36" s="510" t="s">
        <v>347</v>
      </c>
      <c r="C36" s="510">
        <f>0.14*B27</f>
        <v>33.544000000000004</v>
      </c>
      <c r="D36" s="510">
        <f>0.41*B27</f>
        <v>98.23599999999999</v>
      </c>
      <c r="E36" s="510">
        <f>0.69*B27</f>
        <v>165.32399999999998</v>
      </c>
      <c r="F36" s="510">
        <f>B27</f>
        <v>239.6</v>
      </c>
      <c r="G36" s="510">
        <f>B27</f>
        <v>239.6</v>
      </c>
      <c r="H36" s="510">
        <f>B27</f>
        <v>239.6</v>
      </c>
    </row>
  </sheetData>
  <hyperlinks>
    <hyperlink ref="D8" r:id="rId1"/>
    <hyperlink ref="D12" r:id="rId2"/>
    <hyperlink ref="D13" r:id="rId3"/>
    <hyperlink ref="D14" r:id="rId4"/>
    <hyperlink ref="D15" r:id="rId5"/>
    <hyperlink ref="D16" r:id="rId6"/>
    <hyperlink ref="D17" r:id="rId7"/>
    <hyperlink ref="D18" r:id="rId8"/>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21"/>
  <sheetViews>
    <sheetView workbookViewId="0">
      <selection activeCell="I3" sqref="I3"/>
    </sheetView>
  </sheetViews>
  <sheetFormatPr defaultRowHeight="15"/>
  <sheetData>
    <row r="1" spans="1:19" ht="28.5">
      <c r="A1" s="532"/>
      <c r="B1" s="532"/>
      <c r="C1" s="532"/>
      <c r="D1" s="532"/>
      <c r="E1" s="532"/>
      <c r="F1" s="532"/>
      <c r="G1" s="532"/>
      <c r="H1" s="288" t="s">
        <v>348</v>
      </c>
      <c r="I1" s="123"/>
      <c r="J1" s="123"/>
      <c r="K1" s="123"/>
      <c r="L1" s="123"/>
      <c r="M1" s="123"/>
      <c r="N1" s="123"/>
      <c r="O1" s="123"/>
      <c r="P1" s="123"/>
      <c r="Q1" s="532"/>
      <c r="R1" s="532"/>
      <c r="S1" s="532"/>
    </row>
    <row r="2" spans="1:19" ht="28.5">
      <c r="A2" s="532"/>
      <c r="B2" s="532"/>
      <c r="C2" s="532"/>
      <c r="D2" s="532"/>
      <c r="E2" s="532"/>
      <c r="F2" s="532"/>
      <c r="G2" s="532"/>
      <c r="H2" s="302"/>
      <c r="I2" s="308" t="s">
        <v>293</v>
      </c>
      <c r="J2" s="309">
        <v>2025</v>
      </c>
      <c r="K2" s="308">
        <v>2026</v>
      </c>
      <c r="L2" s="308">
        <v>2027</v>
      </c>
      <c r="M2" s="308">
        <v>2028</v>
      </c>
      <c r="N2" s="308">
        <v>2029</v>
      </c>
      <c r="O2" s="308">
        <v>2030</v>
      </c>
      <c r="P2" s="123"/>
      <c r="Q2" s="532"/>
      <c r="R2" s="532"/>
      <c r="S2" s="532"/>
    </row>
    <row r="3" spans="1:19" ht="28.5">
      <c r="A3" s="532"/>
      <c r="B3" s="532"/>
      <c r="C3" s="532"/>
      <c r="D3" s="532"/>
      <c r="E3" s="532"/>
      <c r="F3" s="532"/>
      <c r="G3" s="532"/>
      <c r="H3" s="302"/>
      <c r="I3" s="123" t="s">
        <v>349</v>
      </c>
      <c r="J3" s="311">
        <v>0.14000000000000001</v>
      </c>
      <c r="K3" s="312">
        <v>0.41</v>
      </c>
      <c r="L3" s="312">
        <v>0.69</v>
      </c>
      <c r="M3" s="312">
        <v>1</v>
      </c>
      <c r="N3" s="312">
        <v>1</v>
      </c>
      <c r="O3" s="312">
        <v>1</v>
      </c>
      <c r="P3" s="123"/>
      <c r="Q3" s="532"/>
      <c r="R3" s="532"/>
      <c r="S3" s="532"/>
    </row>
    <row r="4" spans="1:19" ht="28.5">
      <c r="A4" s="532"/>
      <c r="B4" s="532"/>
      <c r="C4" s="532"/>
      <c r="D4" s="532"/>
      <c r="E4" s="532"/>
      <c r="F4" s="532"/>
      <c r="G4" s="532"/>
      <c r="H4" s="302"/>
      <c r="I4" s="123" t="s">
        <v>350</v>
      </c>
      <c r="J4" s="310">
        <v>33</v>
      </c>
      <c r="K4" s="123">
        <v>99</v>
      </c>
      <c r="L4" s="123">
        <v>165</v>
      </c>
      <c r="M4" s="123">
        <v>239</v>
      </c>
      <c r="N4" s="123">
        <v>239</v>
      </c>
      <c r="O4" s="123">
        <v>239</v>
      </c>
      <c r="P4" s="532"/>
      <c r="Q4" s="532"/>
      <c r="R4" s="532"/>
      <c r="S4" s="532"/>
    </row>
    <row r="5" spans="1:19">
      <c r="A5" s="532"/>
      <c r="B5" s="532"/>
      <c r="C5" s="532"/>
      <c r="D5" s="532"/>
      <c r="E5" s="532"/>
      <c r="F5" s="532"/>
      <c r="G5" s="532"/>
      <c r="H5" s="532"/>
      <c r="I5" s="532"/>
      <c r="J5" s="532"/>
      <c r="K5" s="532"/>
      <c r="L5" s="296"/>
      <c r="M5" s="532"/>
      <c r="N5" s="532"/>
      <c r="O5" s="532"/>
      <c r="P5" s="532"/>
      <c r="Q5" s="532"/>
      <c r="R5" s="532"/>
      <c r="S5" s="532"/>
    </row>
    <row r="6" spans="1:19">
      <c r="A6" s="532"/>
      <c r="B6" s="532"/>
      <c r="C6" s="532"/>
      <c r="D6" s="532"/>
      <c r="E6" s="532"/>
      <c r="F6" s="532"/>
      <c r="G6" s="532"/>
      <c r="H6" s="532"/>
      <c r="I6" s="532"/>
      <c r="J6" s="532"/>
      <c r="K6" s="532"/>
      <c r="L6" s="313"/>
      <c r="M6" s="532"/>
      <c r="N6" s="532"/>
      <c r="O6" s="532"/>
      <c r="P6" s="532"/>
      <c r="Q6" s="532"/>
      <c r="R6" s="532"/>
      <c r="S6" s="532"/>
    </row>
    <row r="7" spans="1:19">
      <c r="A7" s="532"/>
      <c r="B7" s="532"/>
      <c r="C7" s="532"/>
      <c r="D7" s="532"/>
      <c r="E7" s="532"/>
      <c r="F7" s="532"/>
      <c r="G7" s="532"/>
      <c r="H7" s="532"/>
      <c r="I7" s="532"/>
      <c r="J7" s="532"/>
      <c r="K7" s="532"/>
      <c r="L7" s="296"/>
      <c r="M7" s="532"/>
      <c r="N7" s="532"/>
      <c r="O7" s="532"/>
      <c r="P7" s="532"/>
      <c r="Q7" s="532"/>
      <c r="R7" s="532"/>
      <c r="S7" s="532"/>
    </row>
    <row r="8" spans="1:19">
      <c r="A8" s="532"/>
      <c r="B8" s="532"/>
      <c r="C8" s="532"/>
      <c r="D8" s="532"/>
      <c r="E8" s="532"/>
      <c r="F8" s="532"/>
      <c r="G8" s="532"/>
      <c r="H8" s="532"/>
      <c r="I8" s="532"/>
      <c r="J8" s="532"/>
      <c r="K8" s="532"/>
      <c r="L8" s="532"/>
      <c r="M8" s="532"/>
      <c r="N8" s="532"/>
      <c r="O8" s="532"/>
      <c r="P8" s="532"/>
      <c r="Q8" s="532"/>
      <c r="R8" s="532"/>
      <c r="S8" s="532"/>
    </row>
    <row r="9" spans="1:19">
      <c r="A9" s="532"/>
      <c r="B9" s="532"/>
      <c r="C9" s="532"/>
      <c r="D9" s="532"/>
      <c r="E9" s="532"/>
      <c r="F9" s="532"/>
      <c r="G9" s="532"/>
      <c r="H9" s="532"/>
      <c r="I9" s="532"/>
      <c r="J9" s="532"/>
      <c r="K9" s="532"/>
      <c r="L9" s="532"/>
      <c r="M9" s="532"/>
      <c r="N9" s="532"/>
      <c r="O9" s="532"/>
      <c r="P9" s="532"/>
      <c r="Q9" s="532"/>
      <c r="R9" s="532"/>
      <c r="S9" s="532"/>
    </row>
    <row r="10" spans="1:19">
      <c r="A10" s="532"/>
      <c r="B10" s="532"/>
      <c r="C10" s="532"/>
      <c r="D10" s="532"/>
      <c r="E10" s="532"/>
      <c r="F10" s="532"/>
      <c r="G10" s="532"/>
      <c r="H10" s="532"/>
      <c r="I10" s="532"/>
      <c r="J10" s="532"/>
      <c r="K10" s="532"/>
      <c r="L10" s="532"/>
      <c r="M10" s="532"/>
      <c r="N10" s="532"/>
      <c r="O10" s="532"/>
      <c r="P10" s="532"/>
      <c r="Q10" s="532"/>
      <c r="R10" s="532"/>
      <c r="S10" s="532"/>
    </row>
    <row r="11" spans="1:19">
      <c r="A11" s="532"/>
      <c r="B11" s="532"/>
      <c r="C11" s="532"/>
      <c r="D11" s="532"/>
      <c r="E11" s="532"/>
      <c r="F11" s="532"/>
      <c r="G11" s="532"/>
      <c r="H11" s="532"/>
      <c r="I11" s="532"/>
      <c r="J11" s="532"/>
      <c r="K11" s="532"/>
      <c r="L11" s="532"/>
      <c r="M11" s="532"/>
      <c r="N11" s="532"/>
      <c r="O11" s="532"/>
      <c r="P11" s="532"/>
      <c r="Q11" s="532"/>
      <c r="R11" s="532"/>
      <c r="S11" s="532"/>
    </row>
    <row r="12" spans="1:19">
      <c r="A12" s="532"/>
      <c r="B12" s="532"/>
      <c r="C12" s="532"/>
      <c r="D12" s="532"/>
      <c r="E12" s="532"/>
      <c r="F12" s="532"/>
      <c r="G12" s="532"/>
      <c r="H12" s="532"/>
      <c r="I12" s="532"/>
      <c r="J12" s="532"/>
      <c r="K12" s="532"/>
      <c r="L12" s="532"/>
      <c r="M12" s="532"/>
      <c r="N12" s="532"/>
      <c r="O12" s="532"/>
      <c r="P12" s="532"/>
      <c r="Q12" s="532"/>
      <c r="R12" s="532"/>
      <c r="S12" s="532"/>
    </row>
    <row r="13" spans="1:19">
      <c r="A13" s="532"/>
      <c r="B13" s="532"/>
      <c r="C13" s="532"/>
      <c r="D13" s="532"/>
      <c r="E13" s="532"/>
      <c r="F13" s="532"/>
      <c r="G13" s="532"/>
      <c r="H13" s="532"/>
      <c r="I13" s="532"/>
      <c r="J13" s="532"/>
      <c r="K13" s="532"/>
      <c r="L13" s="532"/>
      <c r="M13" s="532"/>
      <c r="N13" s="532"/>
      <c r="O13" s="532"/>
      <c r="P13" s="532"/>
      <c r="Q13" s="532"/>
      <c r="R13" s="532"/>
      <c r="S13" s="532"/>
    </row>
    <row r="14" spans="1:19">
      <c r="A14" s="532"/>
      <c r="B14" s="532"/>
      <c r="C14" s="532"/>
      <c r="D14" s="532"/>
      <c r="E14" s="532"/>
      <c r="F14" s="532"/>
      <c r="G14" s="532"/>
      <c r="H14" s="532"/>
      <c r="I14" s="532"/>
      <c r="J14" s="532"/>
      <c r="K14" s="532"/>
      <c r="L14" s="532"/>
      <c r="M14" s="532"/>
      <c r="N14" s="532"/>
      <c r="O14" s="532"/>
      <c r="P14" s="532"/>
      <c r="Q14" s="532"/>
      <c r="R14" s="532"/>
      <c r="S14" s="532"/>
    </row>
    <row r="15" spans="1:19">
      <c r="A15" s="532"/>
      <c r="B15" s="532"/>
      <c r="C15" s="532"/>
      <c r="D15" s="532"/>
      <c r="E15" s="532"/>
      <c r="F15" s="532"/>
      <c r="G15" s="532"/>
      <c r="H15" s="532"/>
      <c r="I15" s="532"/>
      <c r="J15" s="532"/>
      <c r="K15" s="532"/>
      <c r="L15" s="532"/>
      <c r="M15" s="532"/>
      <c r="N15" s="532"/>
      <c r="O15" s="532"/>
      <c r="P15" s="532"/>
      <c r="Q15" s="532"/>
      <c r="R15" s="532"/>
      <c r="S15" s="532"/>
    </row>
    <row r="16" spans="1:19">
      <c r="A16" s="532"/>
      <c r="B16" s="532"/>
      <c r="C16" s="532"/>
      <c r="D16" s="532"/>
      <c r="E16" s="532"/>
      <c r="F16" s="532"/>
      <c r="G16" s="532"/>
      <c r="H16" s="532"/>
      <c r="I16" s="532"/>
      <c r="J16" s="532"/>
      <c r="K16" s="532"/>
      <c r="L16" s="532"/>
      <c r="M16" s="532"/>
      <c r="N16" s="532"/>
      <c r="O16" s="532"/>
      <c r="P16" s="532"/>
      <c r="Q16" s="532"/>
      <c r="R16" s="532"/>
      <c r="S16" s="532"/>
    </row>
    <row r="17" spans="1:19">
      <c r="A17" s="532"/>
      <c r="B17" s="532"/>
      <c r="C17" s="532"/>
      <c r="D17" s="532"/>
      <c r="E17" s="532"/>
      <c r="F17" s="532"/>
      <c r="G17" s="532"/>
      <c r="H17" s="532"/>
      <c r="I17" s="532"/>
      <c r="J17" s="532"/>
      <c r="K17" s="532"/>
      <c r="L17" s="532"/>
      <c r="M17" s="532"/>
      <c r="N17" s="532"/>
      <c r="O17" s="532"/>
      <c r="P17" s="532"/>
      <c r="Q17" s="532"/>
      <c r="R17" s="532"/>
      <c r="S17" s="532"/>
    </row>
    <row r="18" spans="1:19">
      <c r="A18" s="532"/>
      <c r="B18" s="532"/>
      <c r="C18" s="532"/>
      <c r="D18" s="532"/>
      <c r="E18" s="532"/>
      <c r="F18" s="532"/>
      <c r="G18" s="532"/>
      <c r="H18" s="532"/>
      <c r="I18" s="532"/>
      <c r="J18" s="532"/>
      <c r="K18" s="532"/>
      <c r="L18" s="532"/>
      <c r="M18" s="532"/>
      <c r="N18" s="532"/>
      <c r="O18" s="532"/>
      <c r="P18" s="532"/>
      <c r="Q18" s="532"/>
      <c r="R18" s="532"/>
      <c r="S18" s="532"/>
    </row>
    <row r="19" spans="1:19">
      <c r="A19" s="532"/>
      <c r="B19" s="532"/>
      <c r="C19" s="532"/>
      <c r="D19" s="532"/>
      <c r="E19" s="532"/>
      <c r="F19" s="532"/>
      <c r="G19" s="532"/>
      <c r="H19" s="532"/>
      <c r="I19" s="532"/>
      <c r="J19" s="532"/>
      <c r="K19" s="532"/>
      <c r="L19" s="532"/>
      <c r="M19" s="532"/>
      <c r="N19" s="532"/>
      <c r="O19" s="532"/>
      <c r="P19" s="532"/>
      <c r="Q19" s="314"/>
      <c r="R19" s="315"/>
      <c r="S19" s="315"/>
    </row>
    <row r="20" spans="1:19">
      <c r="A20" s="532"/>
      <c r="B20" s="532"/>
      <c r="C20" s="532"/>
      <c r="D20" s="532"/>
      <c r="E20" s="532"/>
      <c r="F20" s="532"/>
      <c r="G20" s="532"/>
      <c r="H20" s="532"/>
      <c r="I20" s="532"/>
      <c r="J20" s="532"/>
      <c r="K20" s="532"/>
      <c r="L20" s="532"/>
      <c r="M20" s="532"/>
      <c r="N20" s="532"/>
      <c r="O20" s="532"/>
      <c r="P20" s="532"/>
      <c r="Q20" s="316"/>
      <c r="R20" s="532"/>
      <c r="S20" s="532"/>
    </row>
    <row r="21" spans="1:19">
      <c r="A21" s="532"/>
      <c r="B21" s="532"/>
      <c r="C21" s="532"/>
      <c r="D21" s="532"/>
      <c r="E21" s="532"/>
      <c r="F21" s="532"/>
      <c r="G21" s="532"/>
      <c r="H21" s="532"/>
      <c r="I21" s="532"/>
      <c r="J21" s="532"/>
      <c r="K21" s="532"/>
      <c r="L21" s="532"/>
      <c r="M21" s="532"/>
      <c r="N21" s="532"/>
      <c r="O21" s="532"/>
      <c r="P21" s="532"/>
      <c r="Q21" s="317"/>
      <c r="R21" s="318"/>
      <c r="S21" s="318"/>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H5:J7"/>
  <sheetViews>
    <sheetView workbookViewId="0">
      <selection activeCell="K16" sqref="K16"/>
    </sheetView>
  </sheetViews>
  <sheetFormatPr defaultRowHeight="15"/>
  <cols>
    <col min="8" max="10" width="30.28515625" customWidth="1"/>
  </cols>
  <sheetData>
    <row r="5" spans="8:10" ht="30">
      <c r="H5" s="289" t="s">
        <v>100</v>
      </c>
      <c r="I5" s="289" t="s">
        <v>101</v>
      </c>
      <c r="J5" s="289" t="s">
        <v>102</v>
      </c>
    </row>
    <row r="6" spans="8:10">
      <c r="H6" s="290" t="s">
        <v>21</v>
      </c>
      <c r="I6" s="291"/>
      <c r="J6" s="291"/>
    </row>
    <row r="7" spans="8:10" ht="30">
      <c r="H7" s="284" t="s">
        <v>351</v>
      </c>
      <c r="I7" s="282">
        <v>1016</v>
      </c>
      <c r="J7" s="282">
        <v>5808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21"/>
  <sheetViews>
    <sheetView workbookViewId="0">
      <selection activeCell="A25" sqref="A25"/>
    </sheetView>
  </sheetViews>
  <sheetFormatPr defaultRowHeight="15"/>
  <cols>
    <col min="1" max="1" width="148.7109375" customWidth="1"/>
  </cols>
  <sheetData>
    <row r="1" spans="1:1">
      <c r="A1" s="6" t="s">
        <v>0</v>
      </c>
    </row>
    <row r="2" spans="1:1" ht="45">
      <c r="A2" s="4" t="s">
        <v>352</v>
      </c>
    </row>
    <row r="3" spans="1:1">
      <c r="A3" s="7"/>
    </row>
    <row r="4" spans="1:1">
      <c r="A4" s="7"/>
    </row>
    <row r="5" spans="1:1">
      <c r="A5" s="7"/>
    </row>
    <row r="6" spans="1:1">
      <c r="A6" s="7"/>
    </row>
    <row r="7" spans="1:1">
      <c r="A7" s="7"/>
    </row>
    <row r="8" spans="1:1">
      <c r="A8" s="7"/>
    </row>
    <row r="9" spans="1:1">
      <c r="A9" s="7"/>
    </row>
    <row r="10" spans="1:1">
      <c r="A10" s="7"/>
    </row>
    <row r="11" spans="1:1">
      <c r="A11" s="7"/>
    </row>
    <row r="12" spans="1:1">
      <c r="A12" s="7"/>
    </row>
    <row r="13" spans="1:1">
      <c r="A13" s="5" t="s">
        <v>6</v>
      </c>
    </row>
    <row r="14" spans="1:1">
      <c r="A14" t="s">
        <v>353</v>
      </c>
    </row>
    <row r="15" spans="1:1">
      <c r="A15" t="s">
        <v>354</v>
      </c>
    </row>
    <row r="16" spans="1:1">
      <c r="A16" t="s">
        <v>355</v>
      </c>
    </row>
    <row r="17" spans="1:1">
      <c r="A17" s="517" t="s">
        <v>356</v>
      </c>
    </row>
    <row r="18" spans="1:1">
      <c r="A18" s="517" t="s">
        <v>357</v>
      </c>
    </row>
    <row r="19" spans="1:1">
      <c r="A19" s="517" t="s">
        <v>358</v>
      </c>
    </row>
    <row r="20" spans="1:1">
      <c r="A20" s="517" t="s">
        <v>359</v>
      </c>
    </row>
    <row r="21" spans="1:1">
      <c r="A21" s="319" t="s">
        <v>360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B6:C10"/>
  <sheetViews>
    <sheetView workbookViewId="0">
      <selection activeCell="D13" sqref="D13"/>
    </sheetView>
  </sheetViews>
  <sheetFormatPr defaultColWidth="9.140625" defaultRowHeight="15"/>
  <cols>
    <col min="2" max="2" width="35.5703125" customWidth="1"/>
    <col min="3" max="3" width="9.140625" bestFit="1" customWidth="1"/>
    <col min="4" max="4" width="25.140625" customWidth="1"/>
    <col min="5" max="5" width="37.140625" customWidth="1"/>
    <col min="6" max="6" width="35.7109375" customWidth="1"/>
  </cols>
  <sheetData>
    <row r="6" spans="2:3">
      <c r="B6" s="510" t="s">
        <v>361</v>
      </c>
      <c r="C6" s="510">
        <v>230</v>
      </c>
    </row>
    <row r="9" spans="2:3">
      <c r="B9" s="418" t="s">
        <v>362</v>
      </c>
      <c r="C9" s="419" t="s">
        <v>363</v>
      </c>
    </row>
    <row r="10" spans="2:3" ht="45">
      <c r="B10" s="508" t="s">
        <v>364</v>
      </c>
    </row>
  </sheetData>
  <hyperlinks>
    <hyperlink ref="C9" r:id="rId1"/>
    <hyperlink ref="B9" r:id="rId2" display="Using AVERT"/>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S50"/>
  <sheetViews>
    <sheetView topLeftCell="A20" workbookViewId="0">
      <selection activeCell="H28" sqref="H28"/>
    </sheetView>
  </sheetViews>
  <sheetFormatPr defaultRowHeight="15"/>
  <cols>
    <col min="1" max="1" width="49.7109375" customWidth="1"/>
    <col min="2" max="5" width="14.5703125" customWidth="1"/>
    <col min="6" max="6" width="20" customWidth="1"/>
    <col min="7" max="8" width="14.5703125" customWidth="1"/>
    <col min="9" max="9" width="15.28515625" customWidth="1"/>
  </cols>
  <sheetData>
    <row r="1" spans="1:9" ht="23.25">
      <c r="A1" s="420" t="s">
        <v>365</v>
      </c>
      <c r="B1" s="421"/>
      <c r="C1" s="422"/>
      <c r="D1" s="422"/>
      <c r="E1" s="422"/>
      <c r="F1" s="422"/>
      <c r="G1" s="422"/>
      <c r="H1" s="422"/>
    </row>
    <row r="2" spans="1:9">
      <c r="A2" s="580" t="s">
        <v>366</v>
      </c>
      <c r="B2" s="580"/>
      <c r="C2" s="580"/>
      <c r="D2" s="580"/>
      <c r="E2" s="580"/>
      <c r="F2" s="580"/>
      <c r="G2" s="580"/>
      <c r="H2" s="580"/>
    </row>
    <row r="3" spans="1:9">
      <c r="A3" s="580"/>
      <c r="B3" s="580"/>
      <c r="C3" s="580"/>
      <c r="D3" s="580"/>
      <c r="E3" s="580"/>
      <c r="F3" s="580"/>
      <c r="G3" s="580"/>
      <c r="H3" s="580"/>
    </row>
    <row r="4" spans="1:9">
      <c r="A4" s="581" t="s">
        <v>367</v>
      </c>
      <c r="B4" s="581"/>
      <c r="C4" s="581"/>
      <c r="D4" s="581"/>
      <c r="E4" s="581"/>
      <c r="F4" s="581"/>
      <c r="G4" s="581"/>
      <c r="H4" s="581"/>
    </row>
    <row r="5" spans="1:9" ht="15" customHeight="1">
      <c r="A5" s="582" t="s">
        <v>368</v>
      </c>
      <c r="B5" s="582"/>
      <c r="C5" s="582"/>
      <c r="D5" s="582"/>
      <c r="E5" s="582"/>
      <c r="F5" s="582"/>
      <c r="G5" s="582"/>
      <c r="H5" s="582"/>
    </row>
    <row r="6" spans="1:9">
      <c r="A6" s="582"/>
      <c r="B6" s="582"/>
      <c r="C6" s="582"/>
      <c r="D6" s="582"/>
      <c r="E6" s="582"/>
      <c r="F6" s="582"/>
      <c r="G6" s="582"/>
      <c r="H6" s="582"/>
    </row>
    <row r="7" spans="1:9">
      <c r="A7" s="582"/>
      <c r="B7" s="582"/>
      <c r="C7" s="582"/>
      <c r="D7" s="582"/>
      <c r="E7" s="582"/>
      <c r="F7" s="582"/>
      <c r="G7" s="582"/>
      <c r="H7" s="582"/>
    </row>
    <row r="8" spans="1:9">
      <c r="A8" s="582"/>
      <c r="B8" s="582"/>
      <c r="C8" s="582"/>
      <c r="D8" s="582"/>
      <c r="E8" s="582"/>
      <c r="F8" s="582"/>
      <c r="G8" s="582"/>
      <c r="H8" s="582"/>
    </row>
    <row r="9" spans="1:9">
      <c r="A9" s="424" t="s">
        <v>369</v>
      </c>
      <c r="B9" s="423"/>
      <c r="C9" s="423"/>
      <c r="D9" s="423"/>
      <c r="E9" s="423"/>
      <c r="F9" s="423"/>
      <c r="G9" s="423"/>
      <c r="H9" s="423"/>
    </row>
    <row r="10" spans="1:9">
      <c r="A10" s="425" t="s">
        <v>370</v>
      </c>
      <c r="B10" s="536"/>
      <c r="C10" s="536"/>
      <c r="D10" s="536"/>
      <c r="E10" s="536"/>
      <c r="F10" s="536"/>
      <c r="G10" s="536"/>
      <c r="H10" s="536"/>
    </row>
    <row r="11" spans="1:9" ht="21">
      <c r="A11" s="426" t="s">
        <v>371</v>
      </c>
      <c r="B11" s="427"/>
      <c r="C11" s="427"/>
      <c r="D11" s="427"/>
      <c r="E11" s="427"/>
      <c r="F11" s="427"/>
      <c r="G11" s="427"/>
      <c r="H11" s="427"/>
      <c r="I11" s="427"/>
    </row>
    <row r="12" spans="1:9">
      <c r="A12" s="577" t="s">
        <v>372</v>
      </c>
      <c r="B12" s="577"/>
      <c r="C12" s="577"/>
      <c r="D12" s="577"/>
      <c r="E12" s="577"/>
      <c r="F12" s="577"/>
    </row>
    <row r="13" spans="1:9">
      <c r="A13" s="577" t="s">
        <v>373</v>
      </c>
      <c r="B13" s="577"/>
      <c r="C13" s="577"/>
      <c r="D13" s="577"/>
      <c r="E13" s="577"/>
      <c r="F13" s="577"/>
    </row>
    <row r="14" spans="1:9">
      <c r="A14" s="577" t="s">
        <v>374</v>
      </c>
      <c r="B14" s="577"/>
      <c r="C14" s="577"/>
      <c r="D14" s="577"/>
      <c r="E14" s="577"/>
      <c r="F14" s="577"/>
    </row>
    <row r="15" spans="1:9">
      <c r="A15" s="577" t="s">
        <v>375</v>
      </c>
      <c r="B15" s="577"/>
      <c r="C15" s="577"/>
      <c r="D15" s="577"/>
      <c r="E15" s="577"/>
      <c r="F15" s="577"/>
    </row>
    <row r="16" spans="1:9">
      <c r="A16" s="577" t="s">
        <v>376</v>
      </c>
      <c r="B16" s="577"/>
      <c r="C16" s="577"/>
      <c r="D16" s="577"/>
      <c r="E16" s="577"/>
      <c r="F16" s="577"/>
    </row>
    <row r="17" spans="1:19">
      <c r="A17" s="534"/>
      <c r="B17" s="534"/>
      <c r="C17" s="534"/>
      <c r="D17" s="534"/>
      <c r="E17" s="534"/>
      <c r="F17" s="534"/>
    </row>
    <row r="18" spans="1:19" ht="21">
      <c r="A18" s="426" t="s">
        <v>377</v>
      </c>
      <c r="B18" s="427"/>
      <c r="C18" s="427"/>
      <c r="D18" s="427"/>
      <c r="E18" s="427"/>
      <c r="F18" s="427"/>
      <c r="G18" s="427"/>
      <c r="H18" s="427"/>
      <c r="I18" s="427"/>
    </row>
    <row r="19" spans="1:19">
      <c r="A19" s="534"/>
      <c r="B19" s="534"/>
      <c r="C19" s="534"/>
      <c r="D19" s="534"/>
      <c r="E19" s="534"/>
      <c r="F19" s="534"/>
    </row>
    <row r="20" spans="1:19" ht="21">
      <c r="C20" s="428" t="s">
        <v>378</v>
      </c>
      <c r="D20" s="429">
        <v>2024</v>
      </c>
      <c r="F20" s="534"/>
    </row>
    <row r="22" spans="1:19" ht="45">
      <c r="A22" s="265"/>
      <c r="B22" s="578" t="s">
        <v>247</v>
      </c>
      <c r="C22" s="579"/>
      <c r="D22" s="578" t="s">
        <v>248</v>
      </c>
      <c r="E22" s="579"/>
      <c r="F22" s="535" t="s">
        <v>249</v>
      </c>
      <c r="G22" s="535" t="s">
        <v>250</v>
      </c>
      <c r="H22" s="535" t="s">
        <v>251</v>
      </c>
      <c r="I22" s="430"/>
    </row>
    <row r="23" spans="1:19" ht="45">
      <c r="A23" s="431" t="s">
        <v>379</v>
      </c>
      <c r="B23" s="535" t="s">
        <v>252</v>
      </c>
      <c r="C23" s="432" t="s">
        <v>380</v>
      </c>
      <c r="D23" s="535" t="s">
        <v>252</v>
      </c>
      <c r="E23" s="432" t="s">
        <v>380</v>
      </c>
      <c r="F23" s="535" t="s">
        <v>253</v>
      </c>
      <c r="G23" s="535" t="s">
        <v>253</v>
      </c>
      <c r="H23" s="535" t="s">
        <v>253</v>
      </c>
      <c r="I23" s="430"/>
      <c r="M23" s="433"/>
      <c r="N23" s="433"/>
      <c r="O23" s="433"/>
      <c r="P23" s="433"/>
      <c r="Q23" s="433"/>
      <c r="R23" s="433"/>
      <c r="S23" s="433"/>
    </row>
    <row r="24" spans="1:19">
      <c r="A24" s="434" t="s">
        <v>381</v>
      </c>
      <c r="B24" s="435"/>
      <c r="C24" s="436"/>
      <c r="D24" s="435"/>
      <c r="E24" s="436"/>
      <c r="F24" s="437">
        <v>0</v>
      </c>
      <c r="G24" s="438">
        <v>0</v>
      </c>
      <c r="H24" s="439">
        <v>0</v>
      </c>
      <c r="I24" s="265"/>
      <c r="J24" s="433"/>
      <c r="K24" s="433"/>
      <c r="M24" s="230"/>
      <c r="N24" s="230"/>
      <c r="O24" s="230"/>
      <c r="P24" s="230"/>
      <c r="Q24" s="230"/>
      <c r="R24" s="230"/>
      <c r="S24" s="230"/>
    </row>
    <row r="25" spans="1:19">
      <c r="A25" s="434"/>
      <c r="B25" s="440"/>
      <c r="C25" s="436"/>
      <c r="D25" s="440"/>
      <c r="E25" s="436"/>
      <c r="F25" s="441"/>
      <c r="G25" s="442"/>
      <c r="H25" s="443"/>
      <c r="I25" s="265"/>
      <c r="J25" s="433"/>
      <c r="K25" s="433"/>
      <c r="M25" s="230"/>
      <c r="N25" s="230"/>
      <c r="O25" s="230"/>
      <c r="P25" s="230"/>
      <c r="Q25" s="230"/>
      <c r="R25" s="230"/>
      <c r="S25" s="230"/>
    </row>
    <row r="26" spans="1:19">
      <c r="A26" s="434" t="s">
        <v>382</v>
      </c>
      <c r="B26" s="435"/>
      <c r="C26" s="444"/>
      <c r="D26" s="435"/>
      <c r="E26" s="444"/>
      <c r="F26" s="445">
        <v>0</v>
      </c>
      <c r="G26" s="446">
        <v>0</v>
      </c>
      <c r="H26" s="447">
        <v>0</v>
      </c>
      <c r="I26" s="265"/>
      <c r="J26" s="230"/>
      <c r="K26" s="230"/>
      <c r="L26" s="230"/>
    </row>
    <row r="27" spans="1:19">
      <c r="A27" s="434"/>
      <c r="B27" s="440"/>
      <c r="C27" s="436"/>
      <c r="D27" s="440"/>
      <c r="E27" s="436"/>
      <c r="F27" s="441"/>
      <c r="G27" s="442"/>
      <c r="H27" s="443"/>
      <c r="I27" s="265"/>
      <c r="J27" s="230"/>
      <c r="K27" s="230"/>
    </row>
    <row r="28" spans="1:19">
      <c r="A28" s="537" t="s">
        <v>383</v>
      </c>
      <c r="B28" s="435">
        <v>1000000</v>
      </c>
      <c r="C28" s="436"/>
      <c r="D28" s="435">
        <v>0</v>
      </c>
      <c r="E28" s="436"/>
      <c r="F28" s="445">
        <f>B28*'Reference TFE'!D27</f>
        <v>199.00404756762228</v>
      </c>
      <c r="G28" s="446">
        <v>0</v>
      </c>
      <c r="H28" s="447">
        <f>F28-G28</f>
        <v>199.00404756762228</v>
      </c>
      <c r="I28" s="265"/>
    </row>
    <row r="29" spans="1:19">
      <c r="A29" s="434"/>
      <c r="B29" s="507" t="s">
        <v>384</v>
      </c>
      <c r="C29" s="436"/>
      <c r="D29" s="440"/>
      <c r="E29" s="436"/>
      <c r="F29" s="441"/>
      <c r="G29" s="442"/>
      <c r="H29" s="443"/>
      <c r="I29" s="265"/>
    </row>
    <row r="30" spans="1:19">
      <c r="A30" s="434" t="s">
        <v>385</v>
      </c>
      <c r="B30" s="435"/>
      <c r="C30" s="436"/>
      <c r="D30" s="435"/>
      <c r="E30" s="436"/>
      <c r="F30" s="437">
        <v>0</v>
      </c>
      <c r="G30" s="438">
        <v>0</v>
      </c>
      <c r="H30" s="439">
        <v>0</v>
      </c>
      <c r="I30" s="265"/>
    </row>
    <row r="31" spans="1:19">
      <c r="A31" s="434"/>
      <c r="B31" s="440"/>
      <c r="C31" s="436"/>
      <c r="D31" s="440"/>
      <c r="E31" s="436"/>
      <c r="F31" s="441"/>
      <c r="G31" s="442"/>
      <c r="H31" s="443"/>
      <c r="I31" s="265"/>
    </row>
    <row r="32" spans="1:19">
      <c r="A32" s="434" t="s">
        <v>386</v>
      </c>
      <c r="B32" s="435"/>
      <c r="C32" s="436"/>
      <c r="D32" s="435"/>
      <c r="E32" s="436"/>
      <c r="F32" s="437">
        <v>0</v>
      </c>
      <c r="G32" s="438">
        <v>0</v>
      </c>
      <c r="H32" s="439">
        <f>F32-G32</f>
        <v>0</v>
      </c>
      <c r="I32" s="265"/>
    </row>
    <row r="33" spans="1:9">
      <c r="A33" s="434" t="s">
        <v>387</v>
      </c>
      <c r="B33" s="435"/>
      <c r="C33" s="436"/>
      <c r="D33" s="435"/>
      <c r="E33" s="436"/>
      <c r="F33" s="437">
        <v>0</v>
      </c>
      <c r="G33" s="438">
        <v>0</v>
      </c>
      <c r="H33" s="439">
        <v>0</v>
      </c>
      <c r="I33" s="265"/>
    </row>
    <row r="34" spans="1:9">
      <c r="A34" s="434" t="s">
        <v>388</v>
      </c>
      <c r="B34" s="435"/>
      <c r="C34" s="436"/>
      <c r="D34" s="435"/>
      <c r="E34" s="436"/>
      <c r="F34" s="437">
        <v>0</v>
      </c>
      <c r="G34" s="438">
        <v>0</v>
      </c>
      <c r="H34" s="439">
        <v>0</v>
      </c>
      <c r="I34" s="265"/>
    </row>
    <row r="35" spans="1:9">
      <c r="A35" s="434" t="s">
        <v>389</v>
      </c>
      <c r="B35" s="435"/>
      <c r="C35" s="436"/>
      <c r="D35" s="435"/>
      <c r="E35" s="436"/>
      <c r="F35" s="437">
        <v>0</v>
      </c>
      <c r="G35" s="438">
        <v>0</v>
      </c>
      <c r="H35" s="439">
        <v>0</v>
      </c>
      <c r="I35" s="265"/>
    </row>
    <row r="36" spans="1:9">
      <c r="A36" s="434" t="s">
        <v>390</v>
      </c>
      <c r="B36" s="448"/>
      <c r="C36" s="449"/>
      <c r="D36" s="448"/>
      <c r="E36" s="449"/>
      <c r="F36" s="450">
        <v>0</v>
      </c>
      <c r="G36" s="451">
        <v>0</v>
      </c>
      <c r="H36" s="452">
        <v>0</v>
      </c>
      <c r="I36" s="265"/>
    </row>
    <row r="37" spans="1:9">
      <c r="A37" s="265"/>
      <c r="B37" s="453"/>
      <c r="C37" s="265"/>
      <c r="D37" s="453"/>
      <c r="E37" s="265"/>
      <c r="F37" s="454"/>
      <c r="G37" s="454"/>
      <c r="H37" s="454"/>
      <c r="I37" s="265"/>
    </row>
    <row r="38" spans="1:9" ht="21">
      <c r="E38" s="455"/>
      <c r="F38" s="456">
        <f>SUM(F24:F37)</f>
        <v>199.00404756762228</v>
      </c>
      <c r="G38" s="456">
        <f>SUM(G24:G37)</f>
        <v>0</v>
      </c>
      <c r="H38" s="456">
        <f>SUM(H24:H37)</f>
        <v>199.00404756762228</v>
      </c>
      <c r="I38" s="457" t="s">
        <v>391</v>
      </c>
    </row>
    <row r="39" spans="1:9" ht="21">
      <c r="E39" s="455"/>
      <c r="F39" s="430"/>
      <c r="G39" s="430"/>
      <c r="H39" s="505"/>
      <c r="I39" s="457"/>
    </row>
    <row r="42" spans="1:9" ht="21">
      <c r="D42" s="453"/>
      <c r="E42" s="265"/>
      <c r="F42" s="458"/>
      <c r="G42" s="458"/>
      <c r="H42" s="458"/>
      <c r="I42" s="457"/>
    </row>
    <row r="43" spans="1:9" ht="21">
      <c r="D43" s="453"/>
      <c r="E43" s="265"/>
      <c r="F43" s="458"/>
      <c r="G43" s="458"/>
      <c r="H43" s="458"/>
      <c r="I43" s="457"/>
    </row>
    <row r="44" spans="1:9" ht="21">
      <c r="A44" s="459" t="s">
        <v>392</v>
      </c>
      <c r="B44" s="427"/>
      <c r="C44" s="427"/>
      <c r="D44" s="427"/>
      <c r="E44" s="427"/>
      <c r="F44" s="427"/>
      <c r="G44" s="427"/>
      <c r="H44" s="427"/>
      <c r="I44" s="427"/>
    </row>
    <row r="45" spans="1:9" ht="18.75">
      <c r="A45" s="460" t="s">
        <v>393</v>
      </c>
      <c r="B45" s="461"/>
      <c r="D45" s="462">
        <v>0</v>
      </c>
      <c r="E45" s="463" t="s">
        <v>394</v>
      </c>
      <c r="G45" s="461"/>
    </row>
    <row r="46" spans="1:9" ht="18.75">
      <c r="B46" s="463"/>
      <c r="C46" s="463"/>
      <c r="D46" s="462">
        <v>0</v>
      </c>
      <c r="E46" s="463" t="s">
        <v>395</v>
      </c>
      <c r="G46" s="463"/>
    </row>
    <row r="48" spans="1:9">
      <c r="A48" t="s">
        <v>396</v>
      </c>
      <c r="D48" s="464" t="s">
        <v>397</v>
      </c>
      <c r="I48" s="463"/>
    </row>
    <row r="49" spans="1:9">
      <c r="A49" t="s">
        <v>398</v>
      </c>
      <c r="D49" s="464" t="s">
        <v>363</v>
      </c>
      <c r="I49" s="463"/>
    </row>
    <row r="50" spans="1:9">
      <c r="A50" t="s">
        <v>399</v>
      </c>
      <c r="D50" s="464" t="s">
        <v>400</v>
      </c>
    </row>
  </sheetData>
  <mergeCells count="10">
    <mergeCell ref="A15:F15"/>
    <mergeCell ref="A16:F16"/>
    <mergeCell ref="B22:C22"/>
    <mergeCell ref="D22:E22"/>
    <mergeCell ref="A2:H3"/>
    <mergeCell ref="A4:H4"/>
    <mergeCell ref="A5:H8"/>
    <mergeCell ref="A12:F12"/>
    <mergeCell ref="A13:F13"/>
    <mergeCell ref="A14:F14"/>
  </mergeCells>
  <hyperlinks>
    <hyperlink ref="D48" r:id="rId1"/>
    <hyperlink ref="D49" r:id="rId2"/>
    <hyperlink ref="D50" r:id="rId3"/>
    <hyperlink ref="A10"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14"/>
  <sheetViews>
    <sheetView workbookViewId="0">
      <selection activeCell="A15" sqref="A15"/>
    </sheetView>
  </sheetViews>
  <sheetFormatPr defaultRowHeight="15"/>
  <cols>
    <col min="1" max="1" width="168.42578125" customWidth="1"/>
    <col min="2" max="2" width="31.42578125" customWidth="1"/>
    <col min="3" max="3" width="34.5703125" customWidth="1"/>
  </cols>
  <sheetData>
    <row r="1" spans="1:1">
      <c r="A1" s="6" t="s">
        <v>0</v>
      </c>
    </row>
    <row r="2" spans="1:1" ht="45">
      <c r="A2" s="4" t="s">
        <v>5</v>
      </c>
    </row>
    <row r="3" spans="1:1">
      <c r="A3" s="7"/>
    </row>
    <row r="4" spans="1:1">
      <c r="A4" s="7"/>
    </row>
    <row r="5" spans="1:1">
      <c r="A5" s="7"/>
    </row>
    <row r="6" spans="1:1">
      <c r="A6" s="7"/>
    </row>
    <row r="7" spans="1:1">
      <c r="A7" s="7"/>
    </row>
    <row r="8" spans="1:1">
      <c r="A8" s="7"/>
    </row>
    <row r="9" spans="1:1">
      <c r="A9" s="7"/>
    </row>
    <row r="10" spans="1:1">
      <c r="A10" s="7"/>
    </row>
    <row r="11" spans="1:1">
      <c r="A11" s="7"/>
    </row>
    <row r="12" spans="1:1">
      <c r="A12" s="7"/>
    </row>
    <row r="13" spans="1:1">
      <c r="A13" s="5" t="s">
        <v>6</v>
      </c>
    </row>
    <row r="14" spans="1:1">
      <c r="A14" s="319" t="s">
        <v>7</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H150"/>
  <sheetViews>
    <sheetView workbookViewId="0"/>
  </sheetViews>
  <sheetFormatPr defaultColWidth="19.85546875" defaultRowHeight="15.75"/>
  <cols>
    <col min="1" max="1" width="36.140625" style="465" customWidth="1"/>
    <col min="2" max="2" width="26.28515625" style="465" customWidth="1"/>
    <col min="3" max="3" width="31.42578125" style="465" customWidth="1"/>
    <col min="4" max="4" width="22.140625" style="465" customWidth="1"/>
    <col min="5" max="7" width="9.140625" style="465"/>
    <col min="8" max="16384" width="19.85546875" style="465"/>
  </cols>
  <sheetData>
    <row r="1" spans="1:4" ht="23.25">
      <c r="A1" s="420" t="s">
        <v>401</v>
      </c>
      <c r="B1" s="421" t="s">
        <v>402</v>
      </c>
      <c r="C1" s="422"/>
      <c r="D1" s="422"/>
    </row>
    <row r="2" spans="1:4">
      <c r="D2" s="466"/>
    </row>
    <row r="3" spans="1:4">
      <c r="A3" s="538" t="s">
        <v>403</v>
      </c>
      <c r="B3" s="538" t="s">
        <v>402</v>
      </c>
      <c r="D3" s="466"/>
    </row>
    <row r="4" spans="1:4">
      <c r="A4" s="465">
        <v>1000</v>
      </c>
      <c r="B4" s="465" t="s">
        <v>404</v>
      </c>
      <c r="D4" s="467"/>
    </row>
    <row r="5" spans="1:4">
      <c r="A5" s="465">
        <v>0.1</v>
      </c>
      <c r="B5" s="465" t="s">
        <v>405</v>
      </c>
      <c r="C5" s="465" t="s">
        <v>402</v>
      </c>
      <c r="D5" s="467"/>
    </row>
    <row r="6" spans="1:4">
      <c r="A6" s="465">
        <v>2.2046199999999998</v>
      </c>
      <c r="B6" s="465" t="s">
        <v>406</v>
      </c>
      <c r="D6" s="468"/>
    </row>
    <row r="7" spans="1:4">
      <c r="A7" s="465">
        <v>42</v>
      </c>
      <c r="B7" s="465" t="s">
        <v>407</v>
      </c>
    </row>
    <row r="8" spans="1:4">
      <c r="A8" s="465">
        <v>1000</v>
      </c>
      <c r="B8" s="465" t="s">
        <v>408</v>
      </c>
    </row>
    <row r="9" spans="1:4">
      <c r="A9" s="465">
        <v>3.4119999999999999</v>
      </c>
      <c r="B9" s="465" t="s">
        <v>409</v>
      </c>
    </row>
    <row r="10" spans="1:4">
      <c r="A10" s="465">
        <v>1.194</v>
      </c>
      <c r="B10" s="465" t="s">
        <v>410</v>
      </c>
    </row>
    <row r="11" spans="1:4">
      <c r="A11" s="469"/>
      <c r="B11" s="486" t="s">
        <v>411</v>
      </c>
    </row>
    <row r="12" spans="1:4">
      <c r="A12" s="538" t="s">
        <v>412</v>
      </c>
      <c r="B12" s="538" t="s">
        <v>402</v>
      </c>
      <c r="C12" s="538" t="s">
        <v>402</v>
      </c>
      <c r="D12" s="538" t="s">
        <v>402</v>
      </c>
    </row>
    <row r="13" spans="1:4" s="472" customFormat="1" ht="18.75">
      <c r="A13" s="470" t="s">
        <v>413</v>
      </c>
      <c r="B13" s="471"/>
      <c r="C13" s="471" t="s">
        <v>414</v>
      </c>
      <c r="D13" s="471" t="s">
        <v>414</v>
      </c>
    </row>
    <row r="14" spans="1:4" s="472" customFormat="1">
      <c r="A14" s="470"/>
      <c r="B14" s="471"/>
      <c r="C14" s="473" t="s">
        <v>415</v>
      </c>
      <c r="D14" s="473" t="s">
        <v>416</v>
      </c>
    </row>
    <row r="15" spans="1:4">
      <c r="A15" s="474" t="s">
        <v>417</v>
      </c>
      <c r="B15" s="475"/>
      <c r="C15" s="475">
        <v>52.91</v>
      </c>
      <c r="D15" s="476">
        <f>C15*A5/A4</f>
        <v>5.2910000000000006E-3</v>
      </c>
    </row>
    <row r="16" spans="1:4">
      <c r="A16" s="506" t="s">
        <v>418</v>
      </c>
      <c r="D16" s="476"/>
    </row>
    <row r="17" spans="1:8" s="472" customFormat="1" ht="18.75">
      <c r="A17" s="470" t="s">
        <v>419</v>
      </c>
      <c r="B17" s="471" t="s">
        <v>420</v>
      </c>
      <c r="C17" s="471" t="s">
        <v>414</v>
      </c>
      <c r="D17" s="471" t="s">
        <v>414</v>
      </c>
    </row>
    <row r="18" spans="1:8" s="472" customFormat="1">
      <c r="A18" s="470"/>
      <c r="B18" s="473" t="s">
        <v>421</v>
      </c>
      <c r="C18" s="473" t="s">
        <v>415</v>
      </c>
      <c r="D18" s="473" t="s">
        <v>422</v>
      </c>
    </row>
    <row r="19" spans="1:8">
      <c r="A19" s="474" t="s">
        <v>423</v>
      </c>
      <c r="B19" s="478">
        <v>0.13800000000000001</v>
      </c>
      <c r="C19" s="478">
        <v>74.14</v>
      </c>
      <c r="D19" s="479">
        <f>B19*C19/$A$4</f>
        <v>1.023132E-2</v>
      </c>
    </row>
    <row r="20" spans="1:8">
      <c r="A20" s="474" t="s">
        <v>424</v>
      </c>
      <c r="B20" s="478">
        <v>9.0999999999999998E-2</v>
      </c>
      <c r="C20" s="478">
        <v>62.88</v>
      </c>
      <c r="D20" s="479">
        <f>B20*C20/$A$4</f>
        <v>5.72208E-3</v>
      </c>
    </row>
    <row r="21" spans="1:8">
      <c r="A21" s="474" t="s">
        <v>425</v>
      </c>
      <c r="B21" s="478">
        <v>0.13800000000000001</v>
      </c>
      <c r="C21" s="478">
        <v>74.14</v>
      </c>
      <c r="D21" s="479">
        <f>B21*C21/$A$4</f>
        <v>1.023132E-2</v>
      </c>
    </row>
    <row r="22" spans="1:8">
      <c r="A22" s="474" t="s">
        <v>426</v>
      </c>
      <c r="B22" s="478">
        <v>0.125</v>
      </c>
      <c r="C22" s="478">
        <v>70.66</v>
      </c>
      <c r="D22" s="479">
        <f>B22*C22/$A$4</f>
        <v>8.8325000000000001E-3</v>
      </c>
    </row>
    <row r="23" spans="1:8">
      <c r="A23" s="480" t="s">
        <v>427</v>
      </c>
      <c r="B23" s="478"/>
      <c r="C23" s="478" t="s">
        <v>402</v>
      </c>
      <c r="D23" s="477" t="s">
        <v>402</v>
      </c>
    </row>
    <row r="24" spans="1:8">
      <c r="A24" s="425"/>
      <c r="B24" s="478"/>
      <c r="C24" s="478"/>
      <c r="D24" s="478"/>
    </row>
    <row r="25" spans="1:8" ht="18.75">
      <c r="A25" s="470" t="s">
        <v>428</v>
      </c>
      <c r="B25" s="471"/>
      <c r="C25" s="471" t="s">
        <v>429</v>
      </c>
      <c r="D25" s="471" t="s">
        <v>429</v>
      </c>
    </row>
    <row r="26" spans="1:8" customFormat="1" ht="15.75" customHeight="1">
      <c r="A26" s="482"/>
      <c r="B26" s="473"/>
      <c r="C26" s="473" t="s">
        <v>430</v>
      </c>
      <c r="D26" s="473" t="s">
        <v>431</v>
      </c>
      <c r="E26" s="465"/>
      <c r="F26" s="465"/>
      <c r="G26" s="465"/>
      <c r="H26" s="465"/>
    </row>
    <row r="27" spans="1:8">
      <c r="A27" s="465" t="s">
        <v>432</v>
      </c>
      <c r="B27" s="478"/>
      <c r="C27" s="483">
        <v>0.19900404756762227</v>
      </c>
      <c r="D27" s="484">
        <f>C27/A4</f>
        <v>1.9900404756762228E-4</v>
      </c>
    </row>
    <row r="28" spans="1:8">
      <c r="B28" s="483"/>
      <c r="C28" s="484"/>
      <c r="D28" s="483"/>
    </row>
    <row r="29" spans="1:8">
      <c r="A29" s="486" t="s">
        <v>433</v>
      </c>
      <c r="B29" s="483"/>
      <c r="C29" s="484"/>
      <c r="D29" s="483"/>
    </row>
    <row r="30" spans="1:8">
      <c r="E30" s="487"/>
      <c r="F30" s="487"/>
      <c r="G30" s="488"/>
      <c r="H30" s="489"/>
    </row>
    <row r="31" spans="1:8">
      <c r="A31" s="538" t="s">
        <v>434</v>
      </c>
      <c r="B31" s="538" t="s">
        <v>402</v>
      </c>
      <c r="C31" s="538" t="s">
        <v>402</v>
      </c>
      <c r="D31" s="538" t="s">
        <v>402</v>
      </c>
      <c r="E31" s="487"/>
      <c r="F31" s="487"/>
      <c r="G31" s="488"/>
      <c r="H31" s="489"/>
    </row>
    <row r="32" spans="1:8" s="472" customFormat="1" ht="18.75">
      <c r="A32" s="470" t="s">
        <v>413</v>
      </c>
      <c r="B32" s="481" t="s">
        <v>435</v>
      </c>
      <c r="C32" s="481" t="s">
        <v>414</v>
      </c>
      <c r="D32" s="471" t="s">
        <v>429</v>
      </c>
      <c r="E32" s="488"/>
      <c r="F32" s="488"/>
      <c r="G32" s="488"/>
      <c r="H32" s="489"/>
    </row>
    <row r="33" spans="1:8" customFormat="1" ht="15">
      <c r="A33" s="482"/>
      <c r="B33" s="473" t="s">
        <v>421</v>
      </c>
      <c r="C33" s="473" t="s">
        <v>436</v>
      </c>
      <c r="D33" s="473" t="s">
        <v>422</v>
      </c>
      <c r="E33" s="490"/>
      <c r="F33" s="490"/>
      <c r="G33" s="490"/>
      <c r="H33" s="490"/>
    </row>
    <row r="34" spans="1:8">
      <c r="A34" s="465" t="s">
        <v>437</v>
      </c>
      <c r="B34" s="478">
        <v>0.125</v>
      </c>
      <c r="C34" s="479">
        <v>0.37630000000000002</v>
      </c>
      <c r="D34" s="485">
        <f>C34/$A$7</f>
        <v>8.9595238095238096E-3</v>
      </c>
      <c r="E34" s="491"/>
      <c r="F34" s="491"/>
      <c r="G34" s="491"/>
      <c r="H34" s="492"/>
    </row>
    <row r="35" spans="1:8">
      <c r="A35" s="465" t="s">
        <v>438</v>
      </c>
      <c r="B35" s="478">
        <v>8.4000000000000005E-2</v>
      </c>
      <c r="C35" s="479">
        <v>0.2422</v>
      </c>
      <c r="D35" s="485">
        <f t="shared" ref="D35:D40" si="0">C35/$A$7</f>
        <v>5.7666666666666665E-3</v>
      </c>
    </row>
    <row r="36" spans="1:8">
      <c r="A36" s="465" t="s">
        <v>439</v>
      </c>
      <c r="B36" s="478">
        <v>0.13800000000000001</v>
      </c>
      <c r="C36" s="479">
        <v>0.42959999999999998</v>
      </c>
      <c r="D36" s="485">
        <f t="shared" si="0"/>
        <v>1.0228571428571429E-2</v>
      </c>
    </row>
    <row r="37" spans="1:8">
      <c r="A37" s="465" t="s">
        <v>440</v>
      </c>
      <c r="B37" s="478">
        <v>0.128</v>
      </c>
      <c r="C37" s="479">
        <v>0.3957</v>
      </c>
      <c r="D37" s="485">
        <f t="shared" si="0"/>
        <v>9.4214285714285719E-3</v>
      </c>
    </row>
    <row r="38" spans="1:8">
      <c r="A38" s="465" t="s">
        <v>424</v>
      </c>
      <c r="B38" s="478">
        <v>9.0999999999999998E-2</v>
      </c>
      <c r="C38" s="479">
        <v>0.24099999999999999</v>
      </c>
      <c r="D38" s="485">
        <f t="shared" si="0"/>
        <v>5.7380952380952383E-3</v>
      </c>
    </row>
    <row r="39" spans="1:8">
      <c r="A39" s="465" t="s">
        <v>441</v>
      </c>
      <c r="B39" s="478">
        <v>0.125</v>
      </c>
      <c r="C39" s="479">
        <v>0.34899999999999998</v>
      </c>
      <c r="D39" s="485">
        <f t="shared" si="0"/>
        <v>8.3095238095238083E-3</v>
      </c>
    </row>
    <row r="40" spans="1:8">
      <c r="A40" s="465" t="s">
        <v>442</v>
      </c>
      <c r="B40" s="478">
        <v>0.13500000000000001</v>
      </c>
      <c r="C40" s="479">
        <v>0.40949999999999998</v>
      </c>
      <c r="D40" s="485">
        <f t="shared" si="0"/>
        <v>9.75E-3</v>
      </c>
    </row>
    <row r="41" spans="1:8">
      <c r="A41" s="486" t="s">
        <v>443</v>
      </c>
      <c r="B41" s="465" t="s">
        <v>402</v>
      </c>
    </row>
    <row r="43" spans="1:8">
      <c r="A43" s="583" t="s">
        <v>444</v>
      </c>
      <c r="B43" s="583"/>
    </row>
    <row r="44" spans="1:8" ht="18.75">
      <c r="A44" s="465" t="s">
        <v>445</v>
      </c>
      <c r="B44" s="465">
        <v>1</v>
      </c>
    </row>
    <row r="45" spans="1:8" ht="18.75">
      <c r="A45" s="465" t="s">
        <v>446</v>
      </c>
      <c r="B45" s="465">
        <v>25</v>
      </c>
    </row>
    <row r="46" spans="1:8" ht="18.75">
      <c r="A46" s="465" t="s">
        <v>447</v>
      </c>
      <c r="B46" s="465">
        <v>298</v>
      </c>
    </row>
    <row r="47" spans="1:8">
      <c r="A47" s="486" t="s">
        <v>448</v>
      </c>
    </row>
    <row r="48" spans="1:8">
      <c r="A48" s="486"/>
    </row>
    <row r="49" spans="1:4">
      <c r="A49" s="493" t="s">
        <v>449</v>
      </c>
      <c r="B49" s="493"/>
      <c r="C49" s="494"/>
    </row>
    <row r="50" spans="1:4" ht="31.5">
      <c r="A50" s="472" t="s">
        <v>450</v>
      </c>
      <c r="B50" s="495">
        <v>4.49</v>
      </c>
      <c r="C50" s="465" t="s">
        <v>451</v>
      </c>
      <c r="D50" s="496" t="s">
        <v>452</v>
      </c>
    </row>
    <row r="51" spans="1:4" ht="31.5">
      <c r="A51" s="497" t="s">
        <v>453</v>
      </c>
      <c r="B51" s="465">
        <v>0.84</v>
      </c>
      <c r="C51" s="465" t="s">
        <v>454</v>
      </c>
      <c r="D51" s="496" t="s">
        <v>455</v>
      </c>
    </row>
    <row r="53" spans="1:4">
      <c r="D53" s="497"/>
    </row>
    <row r="54" spans="1:4">
      <c r="A54" s="498"/>
    </row>
    <row r="55" spans="1:4">
      <c r="A55"/>
      <c r="B55"/>
      <c r="C55"/>
    </row>
    <row r="56" spans="1:4">
      <c r="A56"/>
      <c r="B56"/>
      <c r="C56"/>
    </row>
    <row r="57" spans="1:4">
      <c r="A57"/>
      <c r="B57"/>
      <c r="C57"/>
    </row>
    <row r="58" spans="1:4">
      <c r="A58"/>
      <c r="B58"/>
      <c r="C58"/>
    </row>
    <row r="59" spans="1:4">
      <c r="A59"/>
      <c r="B59"/>
      <c r="C59"/>
    </row>
    <row r="60" spans="1:4">
      <c r="A60"/>
      <c r="B60"/>
      <c r="C60"/>
    </row>
    <row r="61" spans="1:4">
      <c r="A61"/>
      <c r="B61"/>
      <c r="C61"/>
    </row>
    <row r="62" spans="1:4">
      <c r="A62"/>
      <c r="B62"/>
      <c r="C62"/>
    </row>
    <row r="63" spans="1:4">
      <c r="A63"/>
      <c r="B63"/>
      <c r="C63"/>
    </row>
    <row r="64" spans="1:4">
      <c r="A64"/>
      <c r="B64"/>
      <c r="C64"/>
    </row>
    <row r="65" spans="1:3">
      <c r="A65"/>
      <c r="B65"/>
      <c r="C65"/>
    </row>
    <row r="66" spans="1:3">
      <c r="A66"/>
      <c r="B66"/>
      <c r="C66"/>
    </row>
    <row r="67" spans="1:3">
      <c r="A67"/>
      <c r="B67"/>
      <c r="C67"/>
    </row>
    <row r="68" spans="1:3">
      <c r="A68"/>
      <c r="B68"/>
      <c r="C68"/>
    </row>
    <row r="69" spans="1:3">
      <c r="A69"/>
      <c r="B69"/>
      <c r="C69"/>
    </row>
    <row r="70" spans="1:3">
      <c r="A70"/>
      <c r="B70"/>
      <c r="C70"/>
    </row>
    <row r="71" spans="1:3">
      <c r="A71"/>
      <c r="B71"/>
      <c r="C71"/>
    </row>
    <row r="72" spans="1:3">
      <c r="A72"/>
      <c r="B72"/>
      <c r="C72"/>
    </row>
    <row r="73" spans="1:3">
      <c r="A73"/>
      <c r="B73"/>
      <c r="C73"/>
    </row>
    <row r="74" spans="1:3">
      <c r="A74"/>
      <c r="B74"/>
      <c r="C74"/>
    </row>
    <row r="75" spans="1:3">
      <c r="A75"/>
      <c r="B75"/>
      <c r="C75"/>
    </row>
    <row r="76" spans="1:3">
      <c r="A76"/>
      <c r="B76"/>
      <c r="C76"/>
    </row>
    <row r="77" spans="1:3">
      <c r="A77"/>
      <c r="B77"/>
      <c r="C77"/>
    </row>
    <row r="78" spans="1:3">
      <c r="A78"/>
      <c r="B78"/>
      <c r="C78"/>
    </row>
    <row r="79" spans="1:3">
      <c r="A79"/>
      <c r="B79"/>
      <c r="C79"/>
    </row>
    <row r="80" spans="1:3">
      <c r="A80"/>
      <c r="B80"/>
      <c r="C80"/>
    </row>
    <row r="81" spans="1:4">
      <c r="A81"/>
      <c r="B81"/>
      <c r="C81"/>
    </row>
    <row r="82" spans="1:4">
      <c r="A82"/>
      <c r="B82"/>
      <c r="C82"/>
    </row>
    <row r="83" spans="1:4">
      <c r="A83"/>
      <c r="B83"/>
      <c r="C83"/>
    </row>
    <row r="84" spans="1:4">
      <c r="A84"/>
      <c r="B84"/>
      <c r="C84"/>
    </row>
    <row r="87" spans="1:4">
      <c r="A87" s="499" t="s">
        <v>402</v>
      </c>
    </row>
    <row r="88" spans="1:4" ht="31.5">
      <c r="A88" s="500" t="s">
        <v>456</v>
      </c>
      <c r="B88" s="501" t="s">
        <v>457</v>
      </c>
      <c r="C88" s="501" t="s">
        <v>458</v>
      </c>
    </row>
    <row r="89" spans="1:4" customFormat="1">
      <c r="A89" s="413" t="s">
        <v>459</v>
      </c>
      <c r="B89" s="502">
        <v>8.7499999999999994E-2</v>
      </c>
      <c r="C89" s="502">
        <v>9.1399999999999995E-2</v>
      </c>
      <c r="D89" s="465"/>
    </row>
    <row r="90" spans="1:4">
      <c r="A90" s="465" t="s">
        <v>460</v>
      </c>
      <c r="B90" s="503">
        <v>0.11169999999999999</v>
      </c>
      <c r="C90" s="503">
        <v>9.9100000000000008E-2</v>
      </c>
    </row>
    <row r="91" spans="1:4">
      <c r="A91" s="465" t="s">
        <v>461</v>
      </c>
      <c r="B91" s="503">
        <v>6.6299999999999998E-2</v>
      </c>
      <c r="C91" s="503">
        <v>7.1800000000000003E-2</v>
      </c>
    </row>
    <row r="92" spans="1:4">
      <c r="A92" s="465" t="s">
        <v>462</v>
      </c>
      <c r="B92" s="503">
        <v>7.9299999999999995E-2</v>
      </c>
      <c r="C92" s="503">
        <v>6.8600000000000008E-2</v>
      </c>
    </row>
    <row r="93" spans="1:4">
      <c r="A93" s="465" t="s">
        <v>463</v>
      </c>
      <c r="B93" s="503">
        <v>4.3299999999999998E-2</v>
      </c>
      <c r="C93" s="503">
        <v>3.7200000000000004E-2</v>
      </c>
    </row>
    <row r="94" spans="1:4">
      <c r="A94" s="465" t="s">
        <v>464</v>
      </c>
      <c r="B94" s="503">
        <v>0.11349999999999999</v>
      </c>
      <c r="C94" s="503">
        <v>9.9299999999999999E-2</v>
      </c>
    </row>
    <row r="95" spans="1:4">
      <c r="A95" s="465" t="s">
        <v>465</v>
      </c>
      <c r="B95" s="503">
        <v>7.4400000000000008E-2</v>
      </c>
      <c r="C95" s="503">
        <v>8.8000000000000009E-2</v>
      </c>
    </row>
    <row r="96" spans="1:4">
      <c r="A96" s="465" t="s">
        <v>466</v>
      </c>
      <c r="B96" s="503">
        <v>7.9100000000000004E-2</v>
      </c>
      <c r="C96" s="503">
        <v>6.6600000000000006E-2</v>
      </c>
    </row>
    <row r="97" spans="1:3">
      <c r="A97" s="465" t="s">
        <v>467</v>
      </c>
      <c r="B97" s="503">
        <v>6.7900000000000002E-2</v>
      </c>
      <c r="C97" s="503">
        <v>7.8399999999999997E-2</v>
      </c>
    </row>
    <row r="98" spans="1:3">
      <c r="A98" s="465" t="s">
        <v>468</v>
      </c>
      <c r="B98" s="503">
        <v>0.10279999999999999</v>
      </c>
      <c r="C98" s="503">
        <v>0.10679999999999999</v>
      </c>
    </row>
    <row r="99" spans="1:3">
      <c r="A99" s="465" t="s">
        <v>469</v>
      </c>
      <c r="B99" s="503">
        <v>9.5100000000000004E-2</v>
      </c>
      <c r="C99" s="503">
        <v>8.199999999999999E-2</v>
      </c>
    </row>
    <row r="100" spans="1:3">
      <c r="A100" s="465" t="s">
        <v>470</v>
      </c>
      <c r="B100" s="503">
        <v>9.6600000000000005E-2</v>
      </c>
      <c r="C100" s="503">
        <v>8.7400000000000005E-2</v>
      </c>
    </row>
    <row r="101" spans="1:3">
      <c r="A101" s="465" t="s">
        <v>471</v>
      </c>
      <c r="B101" s="503">
        <v>6.6199999999999995E-2</v>
      </c>
      <c r="C101" s="503">
        <v>6.8000000000000005E-2</v>
      </c>
    </row>
    <row r="102" spans="1:3">
      <c r="A102" s="465" t="s">
        <v>472</v>
      </c>
      <c r="B102" s="503">
        <v>6.0599999999999994E-2</v>
      </c>
      <c r="C102" s="503">
        <v>6.3899999999999998E-2</v>
      </c>
    </row>
    <row r="103" spans="1:3">
      <c r="A103" s="465" t="s">
        <v>473</v>
      </c>
      <c r="B103" s="503">
        <v>8.1500000000000003E-2</v>
      </c>
      <c r="C103" s="503">
        <v>8.7300000000000003E-2</v>
      </c>
    </row>
    <row r="104" spans="1:3">
      <c r="A104" s="465" t="s">
        <v>474</v>
      </c>
      <c r="B104" s="503">
        <v>9.3800000000000008E-2</v>
      </c>
      <c r="C104" s="503">
        <v>9.3299999999999994E-2</v>
      </c>
    </row>
    <row r="105" spans="1:3">
      <c r="A105" s="465" t="s">
        <v>475</v>
      </c>
      <c r="B105" s="503">
        <v>6.59E-2</v>
      </c>
      <c r="C105" s="503">
        <v>6.6600000000000006E-2</v>
      </c>
    </row>
    <row r="106" spans="1:3">
      <c r="A106" s="465" t="s">
        <v>476</v>
      </c>
      <c r="B106" s="503">
        <v>0</v>
      </c>
      <c r="C106" s="503">
        <v>0.12820000000000001</v>
      </c>
    </row>
    <row r="107" spans="1:3">
      <c r="A107" s="465" t="s">
        <v>477</v>
      </c>
      <c r="B107" s="503">
        <v>0.13650000000000001</v>
      </c>
      <c r="C107" s="503">
        <v>0.1457</v>
      </c>
    </row>
    <row r="108" spans="1:3">
      <c r="A108" s="465" t="s">
        <v>478</v>
      </c>
      <c r="B108" s="503">
        <v>8.3800000000000013E-2</v>
      </c>
      <c r="C108" s="503">
        <v>8.0799999999999997E-2</v>
      </c>
    </row>
    <row r="109" spans="1:3">
      <c r="A109" s="465" t="s">
        <v>479</v>
      </c>
      <c r="B109" s="503">
        <v>8.0700000000000008E-2</v>
      </c>
      <c r="C109" s="503">
        <v>0.10050000000000001</v>
      </c>
    </row>
    <row r="110" spans="1:3">
      <c r="A110" s="465" t="s">
        <v>480</v>
      </c>
      <c r="B110" s="503">
        <v>8.8599999999999998E-2</v>
      </c>
      <c r="C110" s="503">
        <v>9.4600000000000004E-2</v>
      </c>
    </row>
    <row r="111" spans="1:3">
      <c r="A111" s="465" t="s">
        <v>481</v>
      </c>
      <c r="B111" s="503">
        <v>7.0499999999999993E-2</v>
      </c>
      <c r="C111" s="503">
        <v>7.2400000000000006E-2</v>
      </c>
    </row>
    <row r="112" spans="1:3">
      <c r="A112" s="465" t="s">
        <v>482</v>
      </c>
      <c r="B112" s="503">
        <v>3.6799999999999999E-2</v>
      </c>
      <c r="C112" s="503">
        <v>3.3000000000000002E-2</v>
      </c>
    </row>
    <row r="113" spans="1:3">
      <c r="A113" s="465" t="s">
        <v>483</v>
      </c>
      <c r="B113" s="503">
        <v>9.2499999999999999E-2</v>
      </c>
      <c r="C113" s="503">
        <v>0.10529999999999999</v>
      </c>
    </row>
    <row r="114" spans="1:3">
      <c r="A114" s="465" t="s">
        <v>484</v>
      </c>
      <c r="B114" s="503">
        <v>7.5199999999999989E-2</v>
      </c>
      <c r="C114" s="503">
        <v>8.1500000000000003E-2</v>
      </c>
    </row>
    <row r="115" spans="1:3">
      <c r="A115" s="465" t="s">
        <v>485</v>
      </c>
      <c r="B115" s="503">
        <v>8.6999999999999994E-2</v>
      </c>
      <c r="C115" s="503">
        <v>5.79E-2</v>
      </c>
    </row>
    <row r="116" spans="1:3">
      <c r="A116" s="465" t="s">
        <v>486</v>
      </c>
      <c r="B116" s="503">
        <v>2.8900000000000002E-2</v>
      </c>
      <c r="C116" s="503">
        <v>3.1899999999999998E-2</v>
      </c>
    </row>
    <row r="117" spans="1:3">
      <c r="A117" s="465" t="s">
        <v>487</v>
      </c>
      <c r="B117" s="503">
        <v>7.2000000000000008E-2</v>
      </c>
      <c r="C117" s="503">
        <v>7.7699999999999991E-2</v>
      </c>
    </row>
    <row r="118" spans="1:3">
      <c r="A118" s="465" t="s">
        <v>488</v>
      </c>
      <c r="B118" s="503">
        <v>6.6900000000000001E-2</v>
      </c>
      <c r="C118" s="503">
        <v>9.2300000000000007E-2</v>
      </c>
    </row>
    <row r="119" spans="1:3">
      <c r="A119" s="465" t="s">
        <v>489</v>
      </c>
      <c r="B119" s="503">
        <v>0.1157</v>
      </c>
      <c r="C119" s="503">
        <v>0.1026</v>
      </c>
    </row>
    <row r="120" spans="1:3">
      <c r="A120" s="465" t="s">
        <v>490</v>
      </c>
      <c r="B120" s="503">
        <v>9.0500000000000011E-2</v>
      </c>
      <c r="C120" s="503">
        <v>8.1600000000000006E-2</v>
      </c>
    </row>
    <row r="121" spans="1:3">
      <c r="A121" s="465" t="s">
        <v>491</v>
      </c>
      <c r="B121" s="503">
        <v>8.48E-2</v>
      </c>
      <c r="C121" s="503">
        <v>8.4100000000000008E-2</v>
      </c>
    </row>
    <row r="122" spans="1:3">
      <c r="A122" s="465" t="s">
        <v>492</v>
      </c>
      <c r="B122" s="503">
        <v>7.3300000000000004E-2</v>
      </c>
      <c r="C122" s="503">
        <v>8.0100000000000005E-2</v>
      </c>
    </row>
    <row r="123" spans="1:3">
      <c r="A123" s="465" t="s">
        <v>493</v>
      </c>
      <c r="B123" s="503">
        <v>6.7599999999999993E-2</v>
      </c>
      <c r="C123" s="503">
        <v>7.3700000000000002E-2</v>
      </c>
    </row>
    <row r="124" spans="1:3">
      <c r="A124" s="465" t="s">
        <v>494</v>
      </c>
      <c r="B124" s="503">
        <v>0</v>
      </c>
      <c r="C124" s="503">
        <v>5.1399999999999994E-2</v>
      </c>
    </row>
    <row r="125" spans="1:3">
      <c r="A125" s="465" t="s">
        <v>495</v>
      </c>
      <c r="B125" s="503">
        <v>4.3799999999999999E-2</v>
      </c>
      <c r="C125" s="503">
        <v>4.3099999999999999E-2</v>
      </c>
    </row>
    <row r="126" spans="1:3">
      <c r="A126" s="465" t="s">
        <v>496</v>
      </c>
      <c r="B126" s="503">
        <v>8.539999999999999E-2</v>
      </c>
      <c r="C126" s="503">
        <v>8.3400000000000002E-2</v>
      </c>
    </row>
    <row r="127" spans="1:3">
      <c r="A127" s="465" t="s">
        <v>497</v>
      </c>
      <c r="B127" s="503">
        <v>9.3699999999999992E-2</v>
      </c>
      <c r="C127" s="503">
        <v>0.1052</v>
      </c>
    </row>
    <row r="128" spans="1:3">
      <c r="A128" s="465" t="s">
        <v>498</v>
      </c>
      <c r="B128" s="503">
        <v>0.10859999999999999</v>
      </c>
      <c r="C128" s="503">
        <v>0.1116</v>
      </c>
    </row>
    <row r="129" spans="1:3">
      <c r="A129" s="465" t="s">
        <v>499</v>
      </c>
      <c r="B129" s="503">
        <v>0</v>
      </c>
      <c r="C129" s="503">
        <v>0.25</v>
      </c>
    </row>
    <row r="130" spans="1:3">
      <c r="A130" s="465" t="s">
        <v>500</v>
      </c>
      <c r="B130" s="503">
        <v>0</v>
      </c>
      <c r="C130" s="503">
        <v>0.12689999999999999</v>
      </c>
    </row>
    <row r="131" spans="1:3">
      <c r="A131" s="465" t="s">
        <v>501</v>
      </c>
      <c r="B131" s="503">
        <v>8.2299999999999998E-2</v>
      </c>
      <c r="C131" s="503">
        <v>8.2100000000000006E-2</v>
      </c>
    </row>
    <row r="132" spans="1:3">
      <c r="B132" s="504"/>
      <c r="C132" s="504"/>
    </row>
    <row r="133" spans="1:3">
      <c r="B133" s="504"/>
      <c r="C133" s="504"/>
    </row>
    <row r="134" spans="1:3">
      <c r="B134" s="504"/>
      <c r="C134" s="504"/>
    </row>
    <row r="135" spans="1:3">
      <c r="B135" s="504"/>
      <c r="C135" s="504"/>
    </row>
    <row r="136" spans="1:3">
      <c r="B136" s="504"/>
      <c r="C136" s="504"/>
    </row>
    <row r="137" spans="1:3">
      <c r="B137" s="504"/>
      <c r="C137" s="504"/>
    </row>
    <row r="138" spans="1:3">
      <c r="B138" s="504"/>
      <c r="C138" s="504"/>
    </row>
    <row r="139" spans="1:3">
      <c r="B139" s="504"/>
      <c r="C139" s="504"/>
    </row>
    <row r="140" spans="1:3">
      <c r="B140" s="504"/>
      <c r="C140" s="504"/>
    </row>
    <row r="141" spans="1:3">
      <c r="B141" s="504"/>
      <c r="C141" s="504"/>
    </row>
    <row r="142" spans="1:3">
      <c r="B142" s="504"/>
      <c r="C142" s="504"/>
    </row>
    <row r="143" spans="1:3">
      <c r="B143" s="504"/>
      <c r="C143" s="504"/>
    </row>
    <row r="144" spans="1:3">
      <c r="B144" s="504"/>
      <c r="C144" s="504"/>
    </row>
    <row r="145" spans="2:3">
      <c r="B145" s="504"/>
      <c r="C145" s="504"/>
    </row>
    <row r="146" spans="2:3">
      <c r="B146" s="504"/>
      <c r="C146" s="504"/>
    </row>
    <row r="147" spans="2:3">
      <c r="B147" s="504"/>
      <c r="C147" s="504"/>
    </row>
    <row r="148" spans="2:3">
      <c r="B148" s="504"/>
      <c r="C148" s="504"/>
    </row>
    <row r="149" spans="2:3">
      <c r="B149" s="504"/>
      <c r="C149" s="504"/>
    </row>
    <row r="150" spans="2:3">
      <c r="B150" s="504"/>
      <c r="C150" s="504"/>
    </row>
  </sheetData>
  <mergeCells count="1">
    <mergeCell ref="A43:B43"/>
  </mergeCells>
  <hyperlinks>
    <hyperlink ref="D51" r:id="rId1" location="pineforests"/>
    <hyperlink ref="D50" r:id="rId2" location="vehicles"/>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P23"/>
  <sheetViews>
    <sheetView workbookViewId="0">
      <selection activeCell="E26" sqref="E26"/>
    </sheetView>
  </sheetViews>
  <sheetFormatPr defaultRowHeight="15"/>
  <cols>
    <col min="1" max="1" width="14" customWidth="1"/>
    <col min="2" max="2" width="60.42578125" customWidth="1"/>
    <col min="3" max="3" width="9.28515625" bestFit="1" customWidth="1"/>
    <col min="7" max="7" width="16.85546875" customWidth="1"/>
    <col min="20" max="20" width="34.85546875" customWidth="1"/>
    <col min="21" max="22" width="13.5703125" customWidth="1"/>
  </cols>
  <sheetData>
    <row r="1" spans="1:16" ht="28.5">
      <c r="A1" s="288" t="s">
        <v>311</v>
      </c>
      <c r="B1" s="123"/>
      <c r="C1" s="123"/>
      <c r="D1" s="123"/>
      <c r="E1" s="123"/>
      <c r="F1" s="123"/>
      <c r="G1" s="123"/>
      <c r="H1" s="123"/>
      <c r="I1" s="123"/>
      <c r="J1" s="123"/>
      <c r="K1" s="123"/>
      <c r="L1" s="123"/>
      <c r="M1" s="123"/>
      <c r="N1" s="123"/>
      <c r="O1" s="123"/>
      <c r="P1" s="123"/>
    </row>
    <row r="2" spans="1:16">
      <c r="A2" s="123"/>
      <c r="B2" s="123"/>
      <c r="C2" s="123"/>
      <c r="D2" s="123"/>
      <c r="E2" s="123"/>
      <c r="F2" s="123"/>
      <c r="G2" s="123"/>
      <c r="H2" s="123"/>
      <c r="I2" s="123"/>
      <c r="J2" s="123"/>
      <c r="K2" s="123"/>
      <c r="L2" s="123"/>
      <c r="M2" s="123"/>
      <c r="N2" s="123"/>
      <c r="O2" s="123"/>
      <c r="P2" s="123"/>
    </row>
    <row r="3" spans="1:16">
      <c r="A3" s="123"/>
      <c r="B3" s="123" t="s">
        <v>312</v>
      </c>
      <c r="C3" s="123"/>
      <c r="D3" s="123"/>
      <c r="E3" s="123"/>
      <c r="F3" s="123"/>
      <c r="G3" s="123"/>
      <c r="H3" s="123"/>
      <c r="I3" s="123"/>
      <c r="J3" s="306"/>
      <c r="K3" s="307"/>
      <c r="L3" s="307"/>
      <c r="M3" s="307"/>
      <c r="N3" s="123"/>
      <c r="O3" s="123"/>
      <c r="P3" s="123"/>
    </row>
    <row r="4" spans="1:16">
      <c r="A4" s="123"/>
      <c r="B4" s="123"/>
      <c r="C4" s="123"/>
      <c r="D4" s="123"/>
      <c r="E4" s="123"/>
      <c r="F4" s="123"/>
      <c r="G4" s="123"/>
      <c r="H4" s="123"/>
      <c r="I4" s="123"/>
      <c r="J4" s="306"/>
      <c r="K4" s="307"/>
      <c r="L4" s="307"/>
      <c r="M4" s="307"/>
      <c r="N4" s="123"/>
      <c r="O4" s="123"/>
      <c r="P4" s="123"/>
    </row>
    <row r="5" spans="1:16">
      <c r="A5" s="123"/>
      <c r="B5" s="139" t="s">
        <v>313</v>
      </c>
      <c r="C5" s="139" t="s">
        <v>314</v>
      </c>
      <c r="D5" s="139" t="s">
        <v>315</v>
      </c>
      <c r="E5" s="123"/>
      <c r="F5" s="123"/>
      <c r="G5" s="123"/>
      <c r="H5" s="123"/>
      <c r="I5" s="123"/>
      <c r="J5" s="306"/>
      <c r="K5" s="307"/>
      <c r="L5" s="307"/>
      <c r="M5" s="307"/>
      <c r="N5" s="123"/>
      <c r="O5" s="123"/>
      <c r="P5" s="123"/>
    </row>
    <row r="6" spans="1:16">
      <c r="A6" s="123"/>
      <c r="B6" s="123" t="s">
        <v>316</v>
      </c>
      <c r="C6" s="292">
        <v>830</v>
      </c>
      <c r="D6" s="293" t="s">
        <v>317</v>
      </c>
      <c r="E6" s="123"/>
      <c r="F6" s="123"/>
      <c r="G6" s="123"/>
      <c r="H6" s="123"/>
      <c r="I6" s="123"/>
      <c r="J6" s="123"/>
      <c r="K6" s="123"/>
      <c r="L6" s="123"/>
      <c r="M6" s="123"/>
      <c r="N6" s="123"/>
      <c r="O6" s="123"/>
      <c r="P6" s="123"/>
    </row>
    <row r="7" spans="1:16">
      <c r="A7" s="123"/>
      <c r="B7" s="123" t="s">
        <v>318</v>
      </c>
      <c r="C7" s="294">
        <v>13300</v>
      </c>
      <c r="D7" s="293" t="s">
        <v>319</v>
      </c>
      <c r="E7" s="123"/>
      <c r="F7" s="123"/>
      <c r="G7" s="123"/>
      <c r="H7" s="123"/>
      <c r="I7" s="123"/>
      <c r="J7" s="123"/>
      <c r="K7" s="123"/>
      <c r="L7" s="123"/>
      <c r="M7" s="123"/>
      <c r="N7" s="123"/>
      <c r="O7" s="123"/>
      <c r="P7" s="123"/>
    </row>
    <row r="8" spans="1:16">
      <c r="A8" s="123"/>
      <c r="B8" s="123" t="s">
        <v>320</v>
      </c>
      <c r="C8" s="292">
        <v>0.443</v>
      </c>
      <c r="D8" s="295" t="s">
        <v>321</v>
      </c>
      <c r="E8" s="123"/>
      <c r="F8" s="123"/>
      <c r="G8" s="123"/>
      <c r="H8" s="123"/>
      <c r="I8" s="123"/>
      <c r="J8" s="123"/>
      <c r="K8" s="123"/>
      <c r="L8" s="123"/>
      <c r="M8" s="123"/>
      <c r="N8" s="123"/>
      <c r="O8" s="123"/>
      <c r="P8" s="123"/>
    </row>
    <row r="9" spans="1:16">
      <c r="A9" s="123"/>
      <c r="B9" s="123" t="s">
        <v>322</v>
      </c>
      <c r="C9" s="292">
        <v>40</v>
      </c>
      <c r="D9" s="296" t="s">
        <v>323</v>
      </c>
      <c r="E9" s="123"/>
      <c r="F9" s="123"/>
      <c r="G9" s="123"/>
      <c r="H9" s="123"/>
      <c r="I9" s="123"/>
      <c r="J9" s="123"/>
      <c r="K9" s="123"/>
      <c r="L9" s="123"/>
      <c r="M9" s="123"/>
      <c r="N9" s="123"/>
      <c r="O9" s="123"/>
      <c r="P9" s="123"/>
    </row>
    <row r="10" spans="1:16">
      <c r="A10" s="123"/>
      <c r="B10" s="123"/>
      <c r="C10" s="123"/>
      <c r="D10" s="297"/>
      <c r="E10" s="123"/>
      <c r="F10" s="123"/>
      <c r="G10" s="123"/>
      <c r="H10" s="123"/>
      <c r="I10" s="123"/>
      <c r="J10" s="123"/>
      <c r="K10" s="123"/>
      <c r="L10" s="123"/>
      <c r="M10" s="123"/>
      <c r="N10" s="123"/>
      <c r="O10" s="123"/>
      <c r="P10" s="123"/>
    </row>
    <row r="11" spans="1:16">
      <c r="A11" s="123"/>
      <c r="B11" s="139" t="s">
        <v>324</v>
      </c>
      <c r="C11" s="139" t="s">
        <v>314</v>
      </c>
      <c r="D11" s="139" t="s">
        <v>315</v>
      </c>
      <c r="E11" s="123"/>
      <c r="F11" s="123"/>
      <c r="G11" s="123"/>
      <c r="H11" s="123"/>
      <c r="I11" s="123"/>
      <c r="J11" s="123"/>
      <c r="K11" s="123"/>
      <c r="L11" s="123"/>
      <c r="M11" s="123"/>
      <c r="N11" s="123"/>
      <c r="O11" s="123"/>
      <c r="P11" s="123"/>
    </row>
    <row r="12" spans="1:16">
      <c r="A12" s="123"/>
      <c r="B12" s="123" t="s">
        <v>325</v>
      </c>
      <c r="C12" s="123">
        <v>8.8870000000000008E-3</v>
      </c>
      <c r="D12" s="298" t="s">
        <v>326</v>
      </c>
      <c r="E12" s="123"/>
      <c r="F12" s="123"/>
      <c r="G12" s="123"/>
      <c r="H12" s="123"/>
      <c r="I12" s="123"/>
      <c r="J12" s="123"/>
      <c r="K12" s="123"/>
      <c r="L12" s="123"/>
      <c r="M12" s="123"/>
      <c r="N12" s="299"/>
      <c r="O12" s="123"/>
      <c r="P12" s="123"/>
    </row>
    <row r="13" spans="1:16">
      <c r="A13" s="123"/>
      <c r="B13" s="123" t="s">
        <v>327</v>
      </c>
      <c r="C13" s="123">
        <v>1.0070490000000001</v>
      </c>
      <c r="D13" s="298" t="s">
        <v>326</v>
      </c>
      <c r="E13" s="123"/>
      <c r="F13" s="123"/>
      <c r="G13" s="123"/>
      <c r="H13" s="123"/>
      <c r="I13" s="123"/>
      <c r="J13" s="123"/>
      <c r="K13" s="123"/>
      <c r="L13" s="123"/>
      <c r="M13" s="123"/>
      <c r="N13" s="123"/>
      <c r="O13" s="123"/>
      <c r="P13" s="123"/>
    </row>
    <row r="14" spans="1:16">
      <c r="A14" s="123"/>
      <c r="B14" s="123" t="s">
        <v>502</v>
      </c>
      <c r="C14" s="123">
        <v>27</v>
      </c>
      <c r="D14" s="512" t="s">
        <v>503</v>
      </c>
      <c r="E14" s="123"/>
      <c r="F14" s="123"/>
      <c r="G14" s="123"/>
      <c r="H14" s="123"/>
      <c r="I14" s="123"/>
      <c r="J14" s="123"/>
      <c r="K14" s="123"/>
      <c r="L14" s="123"/>
      <c r="M14" s="123"/>
      <c r="N14" s="123"/>
      <c r="O14" s="123"/>
      <c r="P14" s="123"/>
    </row>
    <row r="15" spans="1:16">
      <c r="A15" s="123"/>
      <c r="B15" s="123" t="s">
        <v>504</v>
      </c>
      <c r="C15" s="123">
        <v>0.45359237000000002</v>
      </c>
      <c r="D15" s="512"/>
      <c r="E15" s="123"/>
      <c r="F15" s="123"/>
      <c r="G15" s="123"/>
      <c r="H15" s="123"/>
      <c r="I15" s="123"/>
      <c r="J15" s="123"/>
      <c r="K15" s="123"/>
      <c r="L15" s="123"/>
      <c r="M15" s="123"/>
      <c r="N15" s="123"/>
      <c r="O15" s="123"/>
      <c r="P15" s="123"/>
    </row>
    <row r="16" spans="1:16">
      <c r="A16" s="123"/>
      <c r="B16" s="300" t="s">
        <v>337</v>
      </c>
      <c r="C16" s="123"/>
      <c r="D16" s="123"/>
      <c r="E16" s="123"/>
      <c r="F16" s="123"/>
      <c r="G16" s="123"/>
      <c r="H16" s="123"/>
      <c r="I16" s="123"/>
      <c r="J16" s="123"/>
      <c r="K16" s="123"/>
      <c r="L16" s="123"/>
      <c r="M16" s="123"/>
      <c r="N16" s="123"/>
      <c r="O16" s="123"/>
      <c r="P16" s="123"/>
    </row>
    <row r="17" spans="1:16">
      <c r="A17" s="123"/>
      <c r="B17" s="301" t="s">
        <v>338</v>
      </c>
      <c r="C17" s="123"/>
      <c r="D17" s="123"/>
      <c r="E17" s="123"/>
      <c r="F17" s="123"/>
      <c r="G17" s="123"/>
      <c r="H17" s="123"/>
      <c r="I17" s="123"/>
      <c r="J17" s="123"/>
      <c r="K17" s="123"/>
      <c r="L17" s="123"/>
      <c r="M17" s="123"/>
      <c r="N17" s="123"/>
      <c r="O17" s="123"/>
      <c r="P17" s="123"/>
    </row>
    <row r="18" spans="1:16">
      <c r="A18" s="123"/>
      <c r="B18" s="301" t="s">
        <v>339</v>
      </c>
      <c r="C18" s="123"/>
      <c r="D18" s="123"/>
      <c r="E18" s="123"/>
      <c r="F18" s="123"/>
      <c r="G18" s="123"/>
      <c r="H18" s="123"/>
      <c r="I18" s="123"/>
      <c r="J18" s="123"/>
      <c r="K18" s="123"/>
      <c r="L18" s="123"/>
      <c r="M18" s="123"/>
      <c r="N18" s="123"/>
      <c r="O18" s="123"/>
      <c r="P18" s="123"/>
    </row>
    <row r="19" spans="1:16">
      <c r="A19" s="123"/>
      <c r="B19" s="123"/>
      <c r="C19" s="123"/>
      <c r="D19" s="123"/>
      <c r="E19" s="123"/>
      <c r="F19" s="123"/>
      <c r="G19" s="123"/>
      <c r="H19" s="123"/>
      <c r="I19" s="123"/>
      <c r="J19" s="123"/>
      <c r="K19" s="123"/>
      <c r="L19" s="123"/>
      <c r="M19" s="123"/>
      <c r="N19" s="123"/>
      <c r="O19" s="123"/>
      <c r="P19" s="123"/>
    </row>
    <row r="20" spans="1:16">
      <c r="A20" s="123"/>
      <c r="B20" s="123">
        <f>C6*C9*C13*C12</f>
        <v>297.1281961716</v>
      </c>
      <c r="C20" s="123" t="s">
        <v>505</v>
      </c>
      <c r="D20" s="123"/>
      <c r="E20" s="123"/>
      <c r="F20" s="123"/>
      <c r="G20" s="123"/>
      <c r="H20" s="123"/>
      <c r="I20" s="123"/>
      <c r="J20" s="123"/>
      <c r="K20" s="123"/>
      <c r="L20" s="123"/>
      <c r="M20" s="123"/>
      <c r="N20" s="123"/>
      <c r="O20" s="123"/>
      <c r="P20" s="123"/>
    </row>
    <row r="21" spans="1:16">
      <c r="A21" s="123"/>
      <c r="B21" s="123">
        <f>C7*C8*C9*C14*C15/1000/1000</f>
        <v>2.88632255558724</v>
      </c>
      <c r="C21" s="123" t="s">
        <v>506</v>
      </c>
      <c r="D21" s="123"/>
      <c r="E21" s="123"/>
      <c r="F21" s="123"/>
      <c r="G21" s="123"/>
      <c r="H21" s="123"/>
      <c r="I21" s="123"/>
      <c r="J21" s="123"/>
      <c r="K21" s="123"/>
      <c r="L21" s="123"/>
      <c r="M21" s="123"/>
      <c r="N21" s="123"/>
      <c r="O21" s="123"/>
      <c r="P21" s="123"/>
    </row>
    <row r="22" spans="1:16">
      <c r="A22" s="123"/>
      <c r="B22" s="532"/>
      <c r="C22" s="532"/>
      <c r="D22" s="532"/>
      <c r="E22" s="532"/>
      <c r="F22" s="532"/>
      <c r="G22" s="532"/>
      <c r="H22" s="532"/>
      <c r="I22" s="532"/>
      <c r="J22" s="532"/>
      <c r="K22" s="123"/>
      <c r="L22" s="123"/>
      <c r="M22" s="123"/>
      <c r="N22" s="123"/>
      <c r="O22" s="123"/>
      <c r="P22" s="123"/>
    </row>
    <row r="23" spans="1:16">
      <c r="A23" s="123"/>
      <c r="B23" s="513" t="s">
        <v>507</v>
      </c>
      <c r="C23" s="513">
        <f>B20-B21</f>
        <v>294.24187361601275</v>
      </c>
      <c r="D23" s="532"/>
      <c r="E23" s="532"/>
      <c r="F23" s="532"/>
      <c r="G23" s="532"/>
      <c r="H23" s="532"/>
      <c r="I23" s="532"/>
      <c r="J23" s="532"/>
      <c r="K23" s="123"/>
      <c r="L23" s="123"/>
      <c r="M23" s="123"/>
      <c r="N23" s="123"/>
      <c r="O23" s="123"/>
      <c r="P23" s="123"/>
    </row>
  </sheetData>
  <hyperlinks>
    <hyperlink ref="D8" r:id="rId1"/>
    <hyperlink ref="D12" r:id="rId2"/>
    <hyperlink ref="D13" r:id="rId3"/>
    <hyperlink ref="D14" r:id="rId4"/>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C2:L9"/>
  <sheetViews>
    <sheetView workbookViewId="0">
      <selection activeCell="K19" sqref="K19"/>
    </sheetView>
  </sheetViews>
  <sheetFormatPr defaultRowHeight="15"/>
  <cols>
    <col min="3" max="3" width="31" customWidth="1"/>
    <col min="10" max="12" width="40" customWidth="1"/>
  </cols>
  <sheetData>
    <row r="2" spans="3:12">
      <c r="C2" s="510"/>
      <c r="D2" s="510">
        <v>2025</v>
      </c>
      <c r="E2" s="510">
        <v>2026</v>
      </c>
      <c r="F2" s="510">
        <v>2027</v>
      </c>
      <c r="G2" s="510">
        <v>2028</v>
      </c>
      <c r="H2" s="510">
        <v>2029</v>
      </c>
      <c r="I2" s="510">
        <v>2030</v>
      </c>
    </row>
    <row r="3" spans="3:12">
      <c r="C3" s="510" t="s">
        <v>508</v>
      </c>
      <c r="D3" s="510"/>
      <c r="E3" s="510"/>
      <c r="F3" s="514">
        <f>'Solar Emissions Estimates'!$H$38</f>
        <v>199.00404756762228</v>
      </c>
      <c r="G3" s="514">
        <f>'Solar Emissions Estimates'!$H$38</f>
        <v>199.00404756762228</v>
      </c>
      <c r="H3" s="514">
        <f>'Solar Emissions Estimates'!$H$38</f>
        <v>199.00404756762228</v>
      </c>
      <c r="I3" s="514">
        <f>'Solar Emissions Estimates'!$H$38</f>
        <v>199.00404756762228</v>
      </c>
    </row>
    <row r="4" spans="3:12">
      <c r="C4" s="510" t="s">
        <v>509</v>
      </c>
      <c r="D4" s="510"/>
      <c r="E4" s="514">
        <f>'EV Calculations TFE'!$C$23</f>
        <v>294.24187361601275</v>
      </c>
      <c r="F4" s="514">
        <f>'EV Calculations TFE'!$C$23</f>
        <v>294.24187361601275</v>
      </c>
      <c r="G4" s="514">
        <f>'EV Calculations TFE'!$C$23</f>
        <v>294.24187361601275</v>
      </c>
      <c r="H4" s="514">
        <f>'EV Calculations TFE'!$C$23</f>
        <v>294.24187361601275</v>
      </c>
      <c r="I4" s="514">
        <f>'EV Calculations TFE'!$C$23</f>
        <v>294.24187361601275</v>
      </c>
    </row>
    <row r="8" spans="3:12">
      <c r="J8" s="49" t="s">
        <v>510</v>
      </c>
      <c r="K8" s="50" t="s">
        <v>511</v>
      </c>
      <c r="L8" s="51" t="s">
        <v>512</v>
      </c>
    </row>
    <row r="9" spans="3:12">
      <c r="J9" s="52" t="s">
        <v>513</v>
      </c>
      <c r="K9" s="515">
        <f>SUM(D3:I3)+SUM(D4:I4)</f>
        <v>2267.225558350553</v>
      </c>
      <c r="L9" s="516">
        <f>((I3+I4)*20)+K9</f>
        <v>12132.143982023252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A14"/>
  <sheetViews>
    <sheetView workbookViewId="0">
      <selection activeCell="A8" sqref="A8"/>
    </sheetView>
  </sheetViews>
  <sheetFormatPr defaultRowHeight="15"/>
  <cols>
    <col min="1" max="1" width="172.42578125" customWidth="1"/>
  </cols>
  <sheetData>
    <row r="1" spans="1:1">
      <c r="A1" s="262" t="s">
        <v>0</v>
      </c>
    </row>
    <row r="2" spans="1:1" ht="45">
      <c r="A2" s="4" t="s">
        <v>514</v>
      </c>
    </row>
    <row r="3" spans="1:1">
      <c r="A3" s="261"/>
    </row>
    <row r="4" spans="1:1">
      <c r="A4" s="261"/>
    </row>
    <row r="5" spans="1:1">
      <c r="A5" s="261"/>
    </row>
    <row r="6" spans="1:1">
      <c r="A6" s="261"/>
    </row>
    <row r="7" spans="1:1">
      <c r="A7" s="261"/>
    </row>
    <row r="8" spans="1:1">
      <c r="A8" s="261"/>
    </row>
    <row r="9" spans="1:1">
      <c r="A9" s="261"/>
    </row>
    <row r="10" spans="1:1">
      <c r="A10" s="261"/>
    </row>
    <row r="11" spans="1:1">
      <c r="A11" s="261"/>
    </row>
    <row r="12" spans="1:1">
      <c r="A12" s="261"/>
    </row>
    <row r="13" spans="1:1">
      <c r="A13" s="263" t="s">
        <v>6</v>
      </c>
    </row>
    <row r="14" spans="1:1">
      <c r="A14" s="319" t="s">
        <v>7</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18"/>
  <sheetViews>
    <sheetView workbookViewId="0">
      <selection activeCell="H23" sqref="H23"/>
    </sheetView>
  </sheetViews>
  <sheetFormatPr defaultRowHeight="15"/>
  <cols>
    <col min="1" max="1" width="27.28515625" customWidth="1"/>
    <col min="2" max="2" width="43.42578125" customWidth="1"/>
    <col min="3" max="3" width="42" customWidth="1"/>
    <col min="4" max="4" width="14.85546875" customWidth="1"/>
    <col min="5" max="5" width="15.85546875" customWidth="1"/>
    <col min="9" max="9" width="15.85546875" customWidth="1"/>
    <col min="10" max="10" width="11" customWidth="1"/>
  </cols>
  <sheetData>
    <row r="1" spans="1:5">
      <c r="A1" s="509" t="s">
        <v>515</v>
      </c>
      <c r="B1" s="509"/>
      <c r="C1" s="509"/>
    </row>
    <row r="5" spans="1:5">
      <c r="A5" s="413" t="s">
        <v>516</v>
      </c>
    </row>
    <row r="6" spans="1:5">
      <c r="A6" s="413" t="s">
        <v>517</v>
      </c>
      <c r="B6" s="413" t="s">
        <v>518</v>
      </c>
      <c r="C6" s="413" t="s">
        <v>519</v>
      </c>
      <c r="D6" s="413" t="s">
        <v>520</v>
      </c>
      <c r="E6" s="413" t="s">
        <v>521</v>
      </c>
    </row>
    <row r="7" spans="1:5">
      <c r="A7" t="s">
        <v>522</v>
      </c>
      <c r="B7" t="s">
        <v>523</v>
      </c>
      <c r="C7">
        <v>100</v>
      </c>
      <c r="D7" s="414">
        <v>1200731</v>
      </c>
      <c r="E7">
        <v>880</v>
      </c>
    </row>
    <row r="8" spans="1:5">
      <c r="A8" t="s">
        <v>522</v>
      </c>
      <c r="B8" t="s">
        <v>524</v>
      </c>
      <c r="C8">
        <v>477</v>
      </c>
      <c r="D8" s="414">
        <v>1500000</v>
      </c>
      <c r="E8">
        <v>1310</v>
      </c>
    </row>
    <row r="9" spans="1:5">
      <c r="A9" t="s">
        <v>522</v>
      </c>
      <c r="B9" t="s">
        <v>525</v>
      </c>
      <c r="C9">
        <v>279.8</v>
      </c>
      <c r="D9" s="414">
        <v>1498258</v>
      </c>
      <c r="E9">
        <v>1728</v>
      </c>
    </row>
    <row r="10" spans="1:5">
      <c r="A10" t="s">
        <v>522</v>
      </c>
      <c r="B10" t="s">
        <v>526</v>
      </c>
      <c r="C10">
        <v>38.479999999999997</v>
      </c>
      <c r="D10" s="414">
        <v>427601</v>
      </c>
      <c r="E10">
        <v>135</v>
      </c>
    </row>
    <row r="11" spans="1:5">
      <c r="B11" s="415" t="s">
        <v>87</v>
      </c>
      <c r="C11" s="415">
        <f>SUM(C7:C10)</f>
        <v>895.28</v>
      </c>
      <c r="D11" s="416">
        <f>SUM(D7:D10)</f>
        <v>4626590</v>
      </c>
      <c r="E11" s="417">
        <f>SUM(E7:E10)</f>
        <v>4053</v>
      </c>
    </row>
    <row r="13" spans="1:5">
      <c r="C13" s="510" t="s">
        <v>527</v>
      </c>
      <c r="D13" s="510">
        <f>AVERAGE(Table1[Cost])</f>
        <v>1156647.5</v>
      </c>
    </row>
    <row r="14" spans="1:5">
      <c r="C14" s="510" t="s">
        <v>528</v>
      </c>
      <c r="D14" s="510">
        <f>AVERAGE(Table1[Solar (kW)])</f>
        <v>223.82</v>
      </c>
    </row>
    <row r="17" spans="3:4">
      <c r="C17" s="418" t="s">
        <v>362</v>
      </c>
      <c r="D17" s="419" t="s">
        <v>363</v>
      </c>
    </row>
    <row r="18" spans="3:4" ht="30">
      <c r="C18" s="508" t="s">
        <v>529</v>
      </c>
    </row>
  </sheetData>
  <hyperlinks>
    <hyperlink ref="D17" r:id="rId1"/>
    <hyperlink ref="C17" r:id="rId2" display="Using AVERT"/>
  </hyperlinks>
  <pageMargins left="0.7" right="0.7" top="0.75" bottom="0.75" header="0.3" footer="0.3"/>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S50"/>
  <sheetViews>
    <sheetView workbookViewId="0">
      <selection activeCell="H38" sqref="H38"/>
    </sheetView>
  </sheetViews>
  <sheetFormatPr defaultRowHeight="15"/>
  <cols>
    <col min="1" max="1" width="49.7109375" customWidth="1"/>
    <col min="2" max="5" width="14.5703125" customWidth="1"/>
    <col min="6" max="6" width="20" customWidth="1"/>
    <col min="7" max="8" width="14.5703125" customWidth="1"/>
    <col min="9" max="9" width="15.28515625" customWidth="1"/>
  </cols>
  <sheetData>
    <row r="1" spans="1:9" ht="23.25">
      <c r="A1" s="420" t="s">
        <v>365</v>
      </c>
      <c r="B1" s="421"/>
      <c r="C1" s="422"/>
      <c r="D1" s="422"/>
      <c r="E1" s="422"/>
      <c r="F1" s="422"/>
      <c r="G1" s="422"/>
      <c r="H1" s="422"/>
    </row>
    <row r="2" spans="1:9">
      <c r="A2" s="580" t="s">
        <v>366</v>
      </c>
      <c r="B2" s="580"/>
      <c r="C2" s="580"/>
      <c r="D2" s="580"/>
      <c r="E2" s="580"/>
      <c r="F2" s="580"/>
      <c r="G2" s="580"/>
      <c r="H2" s="580"/>
    </row>
    <row r="3" spans="1:9">
      <c r="A3" s="580"/>
      <c r="B3" s="580"/>
      <c r="C3" s="580"/>
      <c r="D3" s="580"/>
      <c r="E3" s="580"/>
      <c r="F3" s="580"/>
      <c r="G3" s="580"/>
      <c r="H3" s="580"/>
    </row>
    <row r="4" spans="1:9">
      <c r="A4" s="581" t="s">
        <v>367</v>
      </c>
      <c r="B4" s="581"/>
      <c r="C4" s="581"/>
      <c r="D4" s="581"/>
      <c r="E4" s="581"/>
      <c r="F4" s="581"/>
      <c r="G4" s="581"/>
      <c r="H4" s="581"/>
    </row>
    <row r="5" spans="1:9" ht="15" customHeight="1">
      <c r="A5" s="582" t="s">
        <v>368</v>
      </c>
      <c r="B5" s="582"/>
      <c r="C5" s="582"/>
      <c r="D5" s="582"/>
      <c r="E5" s="582"/>
      <c r="F5" s="582"/>
      <c r="G5" s="582"/>
      <c r="H5" s="582"/>
    </row>
    <row r="6" spans="1:9">
      <c r="A6" s="582"/>
      <c r="B6" s="582"/>
      <c r="C6" s="582"/>
      <c r="D6" s="582"/>
      <c r="E6" s="582"/>
      <c r="F6" s="582"/>
      <c r="G6" s="582"/>
      <c r="H6" s="582"/>
    </row>
    <row r="7" spans="1:9">
      <c r="A7" s="582"/>
      <c r="B7" s="582"/>
      <c r="C7" s="582"/>
      <c r="D7" s="582"/>
      <c r="E7" s="582"/>
      <c r="F7" s="582"/>
      <c r="G7" s="582"/>
      <c r="H7" s="582"/>
    </row>
    <row r="8" spans="1:9">
      <c r="A8" s="582"/>
      <c r="B8" s="582"/>
      <c r="C8" s="582"/>
      <c r="D8" s="582"/>
      <c r="E8" s="582"/>
      <c r="F8" s="582"/>
      <c r="G8" s="582"/>
      <c r="H8" s="582"/>
    </row>
    <row r="9" spans="1:9">
      <c r="A9" s="424" t="s">
        <v>369</v>
      </c>
      <c r="B9" s="423"/>
      <c r="C9" s="423"/>
      <c r="D9" s="423"/>
      <c r="E9" s="423"/>
      <c r="F9" s="423"/>
      <c r="G9" s="423"/>
      <c r="H9" s="423"/>
    </row>
    <row r="10" spans="1:9">
      <c r="A10" s="425" t="s">
        <v>370</v>
      </c>
      <c r="B10" s="536"/>
      <c r="C10" s="536"/>
      <c r="D10" s="536"/>
      <c r="E10" s="536"/>
      <c r="F10" s="536"/>
      <c r="G10" s="536"/>
      <c r="H10" s="536"/>
    </row>
    <row r="11" spans="1:9" ht="21">
      <c r="A11" s="426" t="s">
        <v>371</v>
      </c>
      <c r="B11" s="427"/>
      <c r="C11" s="427"/>
      <c r="D11" s="427"/>
      <c r="E11" s="427"/>
      <c r="F11" s="427"/>
      <c r="G11" s="427"/>
      <c r="H11" s="427"/>
      <c r="I11" s="427"/>
    </row>
    <row r="12" spans="1:9">
      <c r="A12" s="577" t="s">
        <v>372</v>
      </c>
      <c r="B12" s="577"/>
      <c r="C12" s="577"/>
      <c r="D12" s="577"/>
      <c r="E12" s="577"/>
      <c r="F12" s="577"/>
    </row>
    <row r="13" spans="1:9">
      <c r="A13" s="577" t="s">
        <v>373</v>
      </c>
      <c r="B13" s="577"/>
      <c r="C13" s="577"/>
      <c r="D13" s="577"/>
      <c r="E13" s="577"/>
      <c r="F13" s="577"/>
    </row>
    <row r="14" spans="1:9">
      <c r="A14" s="577" t="s">
        <v>374</v>
      </c>
      <c r="B14" s="577"/>
      <c r="C14" s="577"/>
      <c r="D14" s="577"/>
      <c r="E14" s="577"/>
      <c r="F14" s="577"/>
    </row>
    <row r="15" spans="1:9">
      <c r="A15" s="577" t="s">
        <v>375</v>
      </c>
      <c r="B15" s="577"/>
      <c r="C15" s="577"/>
      <c r="D15" s="577"/>
      <c r="E15" s="577"/>
      <c r="F15" s="577"/>
    </row>
    <row r="16" spans="1:9">
      <c r="A16" s="577" t="s">
        <v>376</v>
      </c>
      <c r="B16" s="577"/>
      <c r="C16" s="577"/>
      <c r="D16" s="577"/>
      <c r="E16" s="577"/>
      <c r="F16" s="577"/>
    </row>
    <row r="17" spans="1:19">
      <c r="A17" s="534"/>
      <c r="B17" s="534"/>
      <c r="C17" s="534"/>
      <c r="D17" s="534"/>
      <c r="E17" s="534"/>
      <c r="F17" s="534"/>
    </row>
    <row r="18" spans="1:19" ht="21">
      <c r="A18" s="426" t="s">
        <v>377</v>
      </c>
      <c r="B18" s="427"/>
      <c r="C18" s="427"/>
      <c r="D18" s="427"/>
      <c r="E18" s="427"/>
      <c r="F18" s="427"/>
      <c r="G18" s="427"/>
      <c r="H18" s="427"/>
      <c r="I18" s="427"/>
    </row>
    <row r="19" spans="1:19">
      <c r="A19" s="534"/>
      <c r="B19" s="534"/>
      <c r="C19" s="534"/>
      <c r="D19" s="534"/>
      <c r="E19" s="534"/>
      <c r="F19" s="534"/>
    </row>
    <row r="20" spans="1:19" ht="21">
      <c r="C20" s="428" t="s">
        <v>378</v>
      </c>
      <c r="D20" s="429">
        <v>2024</v>
      </c>
      <c r="F20" s="534"/>
    </row>
    <row r="22" spans="1:19" ht="45">
      <c r="A22" s="265"/>
      <c r="B22" s="578" t="s">
        <v>247</v>
      </c>
      <c r="C22" s="579"/>
      <c r="D22" s="578" t="s">
        <v>248</v>
      </c>
      <c r="E22" s="579"/>
      <c r="F22" s="535" t="s">
        <v>249</v>
      </c>
      <c r="G22" s="535" t="s">
        <v>250</v>
      </c>
      <c r="H22" s="535" t="s">
        <v>251</v>
      </c>
      <c r="I22" s="430"/>
    </row>
    <row r="23" spans="1:19" ht="45">
      <c r="A23" s="431" t="s">
        <v>379</v>
      </c>
      <c r="B23" s="535" t="s">
        <v>252</v>
      </c>
      <c r="C23" s="432" t="s">
        <v>380</v>
      </c>
      <c r="D23" s="535" t="s">
        <v>252</v>
      </c>
      <c r="E23" s="432" t="s">
        <v>380</v>
      </c>
      <c r="F23" s="535" t="s">
        <v>253</v>
      </c>
      <c r="G23" s="535" t="s">
        <v>253</v>
      </c>
      <c r="H23" s="535" t="s">
        <v>253</v>
      </c>
      <c r="I23" s="430"/>
      <c r="M23" s="433"/>
      <c r="N23" s="433"/>
      <c r="O23" s="433"/>
      <c r="P23" s="433"/>
      <c r="Q23" s="433"/>
      <c r="R23" s="433"/>
      <c r="S23" s="433"/>
    </row>
    <row r="24" spans="1:19">
      <c r="A24" s="434" t="s">
        <v>381</v>
      </c>
      <c r="B24" s="435"/>
      <c r="C24" s="436"/>
      <c r="D24" s="435"/>
      <c r="E24" s="436"/>
      <c r="F24" s="437">
        <v>0</v>
      </c>
      <c r="G24" s="438">
        <v>0</v>
      </c>
      <c r="H24" s="439">
        <v>0</v>
      </c>
      <c r="I24" s="265"/>
      <c r="J24" s="433"/>
      <c r="K24" s="433"/>
      <c r="M24" s="230"/>
      <c r="N24" s="230"/>
      <c r="O24" s="230"/>
      <c r="P24" s="230"/>
      <c r="Q24" s="230"/>
      <c r="R24" s="230"/>
      <c r="S24" s="230"/>
    </row>
    <row r="25" spans="1:19">
      <c r="A25" s="434"/>
      <c r="B25" s="440"/>
      <c r="C25" s="436"/>
      <c r="D25" s="440"/>
      <c r="E25" s="436"/>
      <c r="F25" s="441"/>
      <c r="G25" s="442"/>
      <c r="H25" s="443"/>
      <c r="I25" s="265"/>
      <c r="J25" s="433"/>
      <c r="K25" s="433"/>
      <c r="M25" s="230"/>
      <c r="N25" s="230"/>
      <c r="O25" s="230"/>
      <c r="P25" s="230"/>
      <c r="Q25" s="230"/>
      <c r="R25" s="230"/>
      <c r="S25" s="230"/>
    </row>
    <row r="26" spans="1:19">
      <c r="A26" s="434" t="s">
        <v>382</v>
      </c>
      <c r="B26" s="435"/>
      <c r="C26" s="444"/>
      <c r="D26" s="435"/>
      <c r="E26" s="444"/>
      <c r="F26" s="445">
        <v>0</v>
      </c>
      <c r="G26" s="446">
        <v>0</v>
      </c>
      <c r="H26" s="447">
        <v>0</v>
      </c>
      <c r="I26" s="265"/>
      <c r="J26" s="230"/>
      <c r="K26" s="230"/>
      <c r="L26" s="230"/>
    </row>
    <row r="27" spans="1:19">
      <c r="A27" s="434"/>
      <c r="B27" s="440"/>
      <c r="C27" s="436"/>
      <c r="D27" s="440"/>
      <c r="E27" s="436"/>
      <c r="F27" s="441"/>
      <c r="G27" s="442"/>
      <c r="H27" s="443"/>
      <c r="I27" s="265"/>
      <c r="J27" s="230"/>
      <c r="K27" s="230"/>
    </row>
    <row r="28" spans="1:19">
      <c r="A28" s="537" t="s">
        <v>383</v>
      </c>
      <c r="B28" s="435">
        <v>1000000</v>
      </c>
      <c r="C28" s="436"/>
      <c r="D28" s="435">
        <v>0</v>
      </c>
      <c r="E28" s="436"/>
      <c r="F28" s="445">
        <f>B28*Reference!D27</f>
        <v>199.00404756762228</v>
      </c>
      <c r="G28" s="446">
        <v>0</v>
      </c>
      <c r="H28" s="447">
        <f>F28-G28</f>
        <v>199.00404756762228</v>
      </c>
      <c r="I28" s="265"/>
    </row>
    <row r="29" spans="1:19">
      <c r="A29" s="434"/>
      <c r="B29" s="507" t="s">
        <v>384</v>
      </c>
      <c r="C29" s="436"/>
      <c r="D29" s="440"/>
      <c r="E29" s="436"/>
      <c r="F29" s="441"/>
      <c r="G29" s="442"/>
      <c r="H29" s="443"/>
      <c r="I29" s="265"/>
    </row>
    <row r="30" spans="1:19">
      <c r="A30" s="434" t="s">
        <v>385</v>
      </c>
      <c r="B30" s="435"/>
      <c r="C30" s="436"/>
      <c r="D30" s="435"/>
      <c r="E30" s="436"/>
      <c r="F30" s="437">
        <v>0</v>
      </c>
      <c r="G30" s="438">
        <v>0</v>
      </c>
      <c r="H30" s="439">
        <v>0</v>
      </c>
      <c r="I30" s="265"/>
    </row>
    <row r="31" spans="1:19">
      <c r="A31" s="434"/>
      <c r="B31" s="440"/>
      <c r="C31" s="436"/>
      <c r="D31" s="440"/>
      <c r="E31" s="436"/>
      <c r="F31" s="441"/>
      <c r="G31" s="442"/>
      <c r="H31" s="443"/>
      <c r="I31" s="265"/>
    </row>
    <row r="32" spans="1:19">
      <c r="A32" s="434" t="s">
        <v>386</v>
      </c>
      <c r="B32" s="435"/>
      <c r="C32" s="436"/>
      <c r="D32" s="435"/>
      <c r="E32" s="436"/>
      <c r="F32" s="437">
        <v>0</v>
      </c>
      <c r="G32" s="438">
        <v>0</v>
      </c>
      <c r="H32" s="439">
        <f>F32-G32</f>
        <v>0</v>
      </c>
      <c r="I32" s="265"/>
    </row>
    <row r="33" spans="1:9">
      <c r="A33" s="434" t="s">
        <v>387</v>
      </c>
      <c r="B33" s="435"/>
      <c r="C33" s="436"/>
      <c r="D33" s="435"/>
      <c r="E33" s="436"/>
      <c r="F33" s="437">
        <v>0</v>
      </c>
      <c r="G33" s="438">
        <v>0</v>
      </c>
      <c r="H33" s="439">
        <v>0</v>
      </c>
      <c r="I33" s="265"/>
    </row>
    <row r="34" spans="1:9">
      <c r="A34" s="434" t="s">
        <v>388</v>
      </c>
      <c r="B34" s="435"/>
      <c r="C34" s="436"/>
      <c r="D34" s="435"/>
      <c r="E34" s="436"/>
      <c r="F34" s="437">
        <v>0</v>
      </c>
      <c r="G34" s="438">
        <v>0</v>
      </c>
      <c r="H34" s="439">
        <v>0</v>
      </c>
      <c r="I34" s="265"/>
    </row>
    <row r="35" spans="1:9">
      <c r="A35" s="434" t="s">
        <v>389</v>
      </c>
      <c r="B35" s="435"/>
      <c r="C35" s="436"/>
      <c r="D35" s="435"/>
      <c r="E35" s="436"/>
      <c r="F35" s="437">
        <v>0</v>
      </c>
      <c r="G35" s="438">
        <v>0</v>
      </c>
      <c r="H35" s="439">
        <v>0</v>
      </c>
      <c r="I35" s="265"/>
    </row>
    <row r="36" spans="1:9">
      <c r="A36" s="434" t="s">
        <v>390</v>
      </c>
      <c r="B36" s="448"/>
      <c r="C36" s="449"/>
      <c r="D36" s="448"/>
      <c r="E36" s="449"/>
      <c r="F36" s="450">
        <v>0</v>
      </c>
      <c r="G36" s="451">
        <v>0</v>
      </c>
      <c r="H36" s="452">
        <v>0</v>
      </c>
      <c r="I36" s="265"/>
    </row>
    <row r="37" spans="1:9">
      <c r="A37" s="265"/>
      <c r="B37" s="453"/>
      <c r="C37" s="265"/>
      <c r="D37" s="453"/>
      <c r="E37" s="265"/>
      <c r="F37" s="454"/>
      <c r="G37" s="454"/>
      <c r="H37" s="454"/>
      <c r="I37" s="265"/>
    </row>
    <row r="38" spans="1:9" ht="21">
      <c r="E38" s="455"/>
      <c r="F38" s="456">
        <f>SUM(F24:F37)</f>
        <v>199.00404756762228</v>
      </c>
      <c r="G38" s="456">
        <f>SUM(G24:G37)</f>
        <v>0</v>
      </c>
      <c r="H38" s="456">
        <f>SUM(H24:H37)</f>
        <v>199.00404756762228</v>
      </c>
      <c r="I38" s="457" t="s">
        <v>391</v>
      </c>
    </row>
    <row r="39" spans="1:9" ht="21">
      <c r="E39" s="455"/>
      <c r="F39" s="430"/>
      <c r="G39" s="430"/>
      <c r="H39" s="505"/>
      <c r="I39" s="457"/>
    </row>
    <row r="42" spans="1:9" ht="21">
      <c r="D42" s="453"/>
      <c r="E42" s="265"/>
      <c r="F42" s="458"/>
      <c r="G42" s="458"/>
      <c r="H42" s="458"/>
      <c r="I42" s="457"/>
    </row>
    <row r="43" spans="1:9" ht="21">
      <c r="D43" s="453"/>
      <c r="E43" s="265"/>
      <c r="F43" s="458"/>
      <c r="G43" s="458"/>
      <c r="H43" s="458"/>
      <c r="I43" s="457"/>
    </row>
    <row r="44" spans="1:9" ht="21">
      <c r="A44" s="459" t="s">
        <v>392</v>
      </c>
      <c r="B44" s="427"/>
      <c r="C44" s="427"/>
      <c r="D44" s="427"/>
      <c r="E44" s="427"/>
      <c r="F44" s="427"/>
      <c r="G44" s="427"/>
      <c r="H44" s="427"/>
      <c r="I44" s="427"/>
    </row>
    <row r="45" spans="1:9" ht="18.75">
      <c r="A45" s="460" t="s">
        <v>393</v>
      </c>
      <c r="B45" s="461"/>
      <c r="D45" s="462">
        <v>0</v>
      </c>
      <c r="E45" s="463" t="s">
        <v>394</v>
      </c>
      <c r="G45" s="461"/>
    </row>
    <row r="46" spans="1:9" ht="18.75">
      <c r="B46" s="463"/>
      <c r="C46" s="463"/>
      <c r="D46" s="462">
        <v>0</v>
      </c>
      <c r="E46" s="463" t="s">
        <v>395</v>
      </c>
      <c r="G46" s="463"/>
    </row>
    <row r="48" spans="1:9">
      <c r="A48" t="s">
        <v>396</v>
      </c>
      <c r="D48" s="464" t="s">
        <v>397</v>
      </c>
      <c r="I48" s="463"/>
    </row>
    <row r="49" spans="1:9">
      <c r="A49" t="s">
        <v>398</v>
      </c>
      <c r="D49" s="464" t="s">
        <v>363</v>
      </c>
      <c r="I49" s="463"/>
    </row>
    <row r="50" spans="1:9">
      <c r="A50" t="s">
        <v>399</v>
      </c>
      <c r="D50" s="464" t="s">
        <v>400</v>
      </c>
    </row>
  </sheetData>
  <mergeCells count="10">
    <mergeCell ref="A15:F15"/>
    <mergeCell ref="A16:F16"/>
    <mergeCell ref="B22:C22"/>
    <mergeCell ref="D22:E22"/>
    <mergeCell ref="A2:H3"/>
    <mergeCell ref="A4:H4"/>
    <mergeCell ref="A5:H8"/>
    <mergeCell ref="A12:F12"/>
    <mergeCell ref="A13:F13"/>
    <mergeCell ref="A14:F14"/>
  </mergeCells>
  <hyperlinks>
    <hyperlink ref="D48" r:id="rId1"/>
    <hyperlink ref="D49" r:id="rId2"/>
    <hyperlink ref="D50" r:id="rId3"/>
    <hyperlink ref="A10" r:id="rId4"/>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H150"/>
  <sheetViews>
    <sheetView workbookViewId="0">
      <selection activeCell="F12" sqref="F12"/>
    </sheetView>
  </sheetViews>
  <sheetFormatPr defaultColWidth="19.85546875" defaultRowHeight="15.75"/>
  <cols>
    <col min="1" max="1" width="36.140625" style="465" customWidth="1"/>
    <col min="2" max="2" width="26.28515625" style="465" customWidth="1"/>
    <col min="3" max="3" width="31.42578125" style="465" customWidth="1"/>
    <col min="4" max="4" width="22.140625" style="465" customWidth="1"/>
    <col min="5" max="16384" width="19.85546875" style="465"/>
  </cols>
  <sheetData>
    <row r="1" spans="1:4" ht="23.25">
      <c r="A1" s="420" t="s">
        <v>401</v>
      </c>
      <c r="B1" s="421" t="s">
        <v>402</v>
      </c>
      <c r="C1" s="422"/>
      <c r="D1" s="422"/>
    </row>
    <row r="2" spans="1:4">
      <c r="D2" s="466"/>
    </row>
    <row r="3" spans="1:4">
      <c r="A3" s="538" t="s">
        <v>403</v>
      </c>
      <c r="B3" s="538" t="s">
        <v>402</v>
      </c>
      <c r="D3" s="466"/>
    </row>
    <row r="4" spans="1:4">
      <c r="A4" s="465">
        <v>1000</v>
      </c>
      <c r="B4" s="465" t="s">
        <v>404</v>
      </c>
      <c r="D4" s="467"/>
    </row>
    <row r="5" spans="1:4">
      <c r="A5" s="465">
        <v>0.1</v>
      </c>
      <c r="B5" s="465" t="s">
        <v>405</v>
      </c>
      <c r="C5" s="465" t="s">
        <v>402</v>
      </c>
      <c r="D5" s="467"/>
    </row>
    <row r="6" spans="1:4">
      <c r="A6" s="465">
        <v>2.2046199999999998</v>
      </c>
      <c r="B6" s="465" t="s">
        <v>406</v>
      </c>
      <c r="D6" s="468"/>
    </row>
    <row r="7" spans="1:4">
      <c r="A7" s="465">
        <v>42</v>
      </c>
      <c r="B7" s="465" t="s">
        <v>407</v>
      </c>
    </row>
    <row r="8" spans="1:4">
      <c r="A8" s="465">
        <v>1000</v>
      </c>
      <c r="B8" s="465" t="s">
        <v>408</v>
      </c>
    </row>
    <row r="9" spans="1:4">
      <c r="A9" s="465">
        <v>3.4119999999999999</v>
      </c>
      <c r="B9" s="465" t="s">
        <v>409</v>
      </c>
    </row>
    <row r="10" spans="1:4">
      <c r="A10" s="465">
        <v>1.194</v>
      </c>
      <c r="B10" s="465" t="s">
        <v>410</v>
      </c>
    </row>
    <row r="11" spans="1:4">
      <c r="A11" s="469"/>
      <c r="B11" s="486" t="s">
        <v>411</v>
      </c>
    </row>
    <row r="12" spans="1:4">
      <c r="A12" s="538" t="s">
        <v>412</v>
      </c>
      <c r="B12" s="538" t="s">
        <v>402</v>
      </c>
      <c r="C12" s="538" t="s">
        <v>402</v>
      </c>
      <c r="D12" s="538" t="s">
        <v>402</v>
      </c>
    </row>
    <row r="13" spans="1:4" s="472" customFormat="1" ht="18.75">
      <c r="A13" s="470" t="s">
        <v>413</v>
      </c>
      <c r="B13" s="471"/>
      <c r="C13" s="471" t="s">
        <v>414</v>
      </c>
      <c r="D13" s="471" t="s">
        <v>414</v>
      </c>
    </row>
    <row r="14" spans="1:4" s="472" customFormat="1">
      <c r="A14" s="470"/>
      <c r="B14" s="471"/>
      <c r="C14" s="473" t="s">
        <v>415</v>
      </c>
      <c r="D14" s="473" t="s">
        <v>416</v>
      </c>
    </row>
    <row r="15" spans="1:4">
      <c r="A15" s="474" t="s">
        <v>417</v>
      </c>
      <c r="B15" s="475"/>
      <c r="C15" s="475">
        <v>52.91</v>
      </c>
      <c r="D15" s="476">
        <f>C15*A5/A4</f>
        <v>5.2910000000000006E-3</v>
      </c>
    </row>
    <row r="16" spans="1:4">
      <c r="A16" s="506" t="s">
        <v>418</v>
      </c>
      <c r="D16" s="476"/>
    </row>
    <row r="17" spans="1:8" s="472" customFormat="1" ht="18.75">
      <c r="A17" s="470" t="s">
        <v>419</v>
      </c>
      <c r="B17" s="471" t="s">
        <v>420</v>
      </c>
      <c r="C17" s="471" t="s">
        <v>414</v>
      </c>
      <c r="D17" s="471" t="s">
        <v>414</v>
      </c>
    </row>
    <row r="18" spans="1:8" s="472" customFormat="1">
      <c r="A18" s="470"/>
      <c r="B18" s="473" t="s">
        <v>421</v>
      </c>
      <c r="C18" s="473" t="s">
        <v>415</v>
      </c>
      <c r="D18" s="473" t="s">
        <v>422</v>
      </c>
    </row>
    <row r="19" spans="1:8">
      <c r="A19" s="474" t="s">
        <v>423</v>
      </c>
      <c r="B19" s="478">
        <v>0.13800000000000001</v>
      </c>
      <c r="C19" s="478">
        <v>74.14</v>
      </c>
      <c r="D19" s="479">
        <f>B19*C19/$A$4</f>
        <v>1.023132E-2</v>
      </c>
    </row>
    <row r="20" spans="1:8">
      <c r="A20" s="474" t="s">
        <v>424</v>
      </c>
      <c r="B20" s="478">
        <v>9.0999999999999998E-2</v>
      </c>
      <c r="C20" s="478">
        <v>62.88</v>
      </c>
      <c r="D20" s="479">
        <f>B20*C20/$A$4</f>
        <v>5.72208E-3</v>
      </c>
    </row>
    <row r="21" spans="1:8">
      <c r="A21" s="474" t="s">
        <v>425</v>
      </c>
      <c r="B21" s="478">
        <v>0.13800000000000001</v>
      </c>
      <c r="C21" s="478">
        <v>74.14</v>
      </c>
      <c r="D21" s="479">
        <f>B21*C21/$A$4</f>
        <v>1.023132E-2</v>
      </c>
    </row>
    <row r="22" spans="1:8">
      <c r="A22" s="474" t="s">
        <v>426</v>
      </c>
      <c r="B22" s="478">
        <v>0.125</v>
      </c>
      <c r="C22" s="478">
        <v>70.66</v>
      </c>
      <c r="D22" s="479">
        <f>B22*C22/$A$4</f>
        <v>8.8325000000000001E-3</v>
      </c>
    </row>
    <row r="23" spans="1:8">
      <c r="A23" s="480" t="s">
        <v>427</v>
      </c>
      <c r="B23" s="478"/>
      <c r="C23" s="478" t="s">
        <v>402</v>
      </c>
      <c r="D23" s="477" t="s">
        <v>402</v>
      </c>
    </row>
    <row r="24" spans="1:8">
      <c r="A24" s="425"/>
      <c r="B24" s="478"/>
      <c r="C24" s="478"/>
      <c r="D24" s="478"/>
    </row>
    <row r="25" spans="1:8" ht="18.75">
      <c r="A25" s="470" t="s">
        <v>428</v>
      </c>
      <c r="B25" s="471"/>
      <c r="C25" s="471" t="s">
        <v>429</v>
      </c>
      <c r="D25" s="471" t="s">
        <v>429</v>
      </c>
    </row>
    <row r="26" spans="1:8" customFormat="1" ht="15.75" customHeight="1">
      <c r="A26" s="482"/>
      <c r="B26" s="473"/>
      <c r="C26" s="473" t="s">
        <v>430</v>
      </c>
      <c r="D26" s="473" t="s">
        <v>431</v>
      </c>
      <c r="E26" s="465"/>
      <c r="F26" s="465"/>
      <c r="G26" s="465"/>
      <c r="H26" s="465"/>
    </row>
    <row r="27" spans="1:8">
      <c r="A27" s="465" t="s">
        <v>432</v>
      </c>
      <c r="B27" s="478"/>
      <c r="C27" s="483">
        <v>0.19900404756762227</v>
      </c>
      <c r="D27" s="484">
        <f>C27/A4</f>
        <v>1.9900404756762228E-4</v>
      </c>
    </row>
    <row r="28" spans="1:8">
      <c r="B28" s="483"/>
      <c r="C28" s="484"/>
      <c r="D28" s="483"/>
    </row>
    <row r="29" spans="1:8">
      <c r="A29" s="486" t="s">
        <v>433</v>
      </c>
      <c r="B29" s="483"/>
      <c r="C29" s="484"/>
      <c r="D29" s="483"/>
    </row>
    <row r="30" spans="1:8">
      <c r="E30" s="487"/>
      <c r="F30" s="487"/>
      <c r="G30" s="488"/>
      <c r="H30" s="489"/>
    </row>
    <row r="31" spans="1:8">
      <c r="A31" s="538" t="s">
        <v>434</v>
      </c>
      <c r="B31" s="538" t="s">
        <v>402</v>
      </c>
      <c r="C31" s="538" t="s">
        <v>402</v>
      </c>
      <c r="D31" s="538" t="s">
        <v>402</v>
      </c>
      <c r="E31" s="487"/>
      <c r="F31" s="487"/>
      <c r="G31" s="488"/>
      <c r="H31" s="489"/>
    </row>
    <row r="32" spans="1:8" s="472" customFormat="1" ht="18.75">
      <c r="A32" s="470" t="s">
        <v>413</v>
      </c>
      <c r="B32" s="481" t="s">
        <v>435</v>
      </c>
      <c r="C32" s="481" t="s">
        <v>414</v>
      </c>
      <c r="D32" s="471" t="s">
        <v>429</v>
      </c>
      <c r="E32" s="488"/>
      <c r="F32" s="488"/>
      <c r="G32" s="488"/>
      <c r="H32" s="489"/>
    </row>
    <row r="33" spans="1:8" customFormat="1" ht="15">
      <c r="A33" s="482"/>
      <c r="B33" s="473" t="s">
        <v>421</v>
      </c>
      <c r="C33" s="473" t="s">
        <v>436</v>
      </c>
      <c r="D33" s="473" t="s">
        <v>422</v>
      </c>
      <c r="E33" s="490"/>
      <c r="F33" s="490"/>
      <c r="G33" s="490"/>
      <c r="H33" s="490"/>
    </row>
    <row r="34" spans="1:8">
      <c r="A34" s="465" t="s">
        <v>437</v>
      </c>
      <c r="B34" s="478">
        <v>0.125</v>
      </c>
      <c r="C34" s="479">
        <v>0.37630000000000002</v>
      </c>
      <c r="D34" s="485">
        <f>C34/$A$7</f>
        <v>8.9595238095238096E-3</v>
      </c>
      <c r="E34" s="491"/>
      <c r="F34" s="491"/>
      <c r="G34" s="491"/>
      <c r="H34" s="492"/>
    </row>
    <row r="35" spans="1:8">
      <c r="A35" s="465" t="s">
        <v>438</v>
      </c>
      <c r="B35" s="478">
        <v>8.4000000000000005E-2</v>
      </c>
      <c r="C35" s="479">
        <v>0.2422</v>
      </c>
      <c r="D35" s="485">
        <f t="shared" ref="D35:D40" si="0">C35/$A$7</f>
        <v>5.7666666666666665E-3</v>
      </c>
    </row>
    <row r="36" spans="1:8">
      <c r="A36" s="465" t="s">
        <v>439</v>
      </c>
      <c r="B36" s="478">
        <v>0.13800000000000001</v>
      </c>
      <c r="C36" s="479">
        <v>0.42959999999999998</v>
      </c>
      <c r="D36" s="485">
        <f t="shared" si="0"/>
        <v>1.0228571428571429E-2</v>
      </c>
    </row>
    <row r="37" spans="1:8">
      <c r="A37" s="465" t="s">
        <v>440</v>
      </c>
      <c r="B37" s="478">
        <v>0.128</v>
      </c>
      <c r="C37" s="479">
        <v>0.3957</v>
      </c>
      <c r="D37" s="485">
        <f t="shared" si="0"/>
        <v>9.4214285714285719E-3</v>
      </c>
    </row>
    <row r="38" spans="1:8">
      <c r="A38" s="465" t="s">
        <v>424</v>
      </c>
      <c r="B38" s="478">
        <v>9.0999999999999998E-2</v>
      </c>
      <c r="C38" s="479">
        <v>0.24099999999999999</v>
      </c>
      <c r="D38" s="485">
        <f t="shared" si="0"/>
        <v>5.7380952380952383E-3</v>
      </c>
    </row>
    <row r="39" spans="1:8">
      <c r="A39" s="465" t="s">
        <v>441</v>
      </c>
      <c r="B39" s="478">
        <v>0.125</v>
      </c>
      <c r="C39" s="479">
        <v>0.34899999999999998</v>
      </c>
      <c r="D39" s="485">
        <f t="shared" si="0"/>
        <v>8.3095238095238083E-3</v>
      </c>
    </row>
    <row r="40" spans="1:8">
      <c r="A40" s="465" t="s">
        <v>442</v>
      </c>
      <c r="B40" s="478">
        <v>0.13500000000000001</v>
      </c>
      <c r="C40" s="479">
        <v>0.40949999999999998</v>
      </c>
      <c r="D40" s="485">
        <f t="shared" si="0"/>
        <v>9.75E-3</v>
      </c>
    </row>
    <row r="41" spans="1:8">
      <c r="A41" s="486" t="s">
        <v>443</v>
      </c>
      <c r="B41" s="465" t="s">
        <v>402</v>
      </c>
    </row>
    <row r="43" spans="1:8">
      <c r="A43" s="583" t="s">
        <v>444</v>
      </c>
      <c r="B43" s="583"/>
    </row>
    <row r="44" spans="1:8" ht="18.75">
      <c r="A44" s="465" t="s">
        <v>445</v>
      </c>
      <c r="B44" s="465">
        <v>1</v>
      </c>
    </row>
    <row r="45" spans="1:8" ht="18.75">
      <c r="A45" s="465" t="s">
        <v>446</v>
      </c>
      <c r="B45" s="465">
        <v>25</v>
      </c>
    </row>
    <row r="46" spans="1:8" ht="18.75">
      <c r="A46" s="465" t="s">
        <v>447</v>
      </c>
      <c r="B46" s="465">
        <v>298</v>
      </c>
    </row>
    <row r="47" spans="1:8">
      <c r="A47" s="486" t="s">
        <v>448</v>
      </c>
    </row>
    <row r="48" spans="1:8">
      <c r="A48" s="486"/>
    </row>
    <row r="49" spans="1:4">
      <c r="A49" s="493" t="s">
        <v>449</v>
      </c>
      <c r="B49" s="493"/>
      <c r="C49" s="494"/>
    </row>
    <row r="50" spans="1:4" ht="31.5">
      <c r="A50" s="472" t="s">
        <v>450</v>
      </c>
      <c r="B50" s="495">
        <v>4.49</v>
      </c>
      <c r="C50" s="465" t="s">
        <v>451</v>
      </c>
      <c r="D50" s="496" t="s">
        <v>452</v>
      </c>
    </row>
    <row r="51" spans="1:4" ht="31.5">
      <c r="A51" s="497" t="s">
        <v>453</v>
      </c>
      <c r="B51" s="465">
        <v>0.84</v>
      </c>
      <c r="C51" s="465" t="s">
        <v>454</v>
      </c>
      <c r="D51" s="496" t="s">
        <v>455</v>
      </c>
    </row>
    <row r="53" spans="1:4">
      <c r="D53" s="497"/>
    </row>
    <row r="54" spans="1:4">
      <c r="A54" s="498"/>
    </row>
    <row r="55" spans="1:4">
      <c r="A55"/>
      <c r="B55"/>
      <c r="C55"/>
    </row>
    <row r="56" spans="1:4">
      <c r="A56"/>
      <c r="B56"/>
      <c r="C56"/>
    </row>
    <row r="57" spans="1:4">
      <c r="A57"/>
      <c r="B57"/>
      <c r="C57"/>
    </row>
    <row r="58" spans="1:4">
      <c r="A58"/>
      <c r="B58"/>
      <c r="C58"/>
    </row>
    <row r="59" spans="1:4">
      <c r="A59"/>
      <c r="B59"/>
      <c r="C59"/>
    </row>
    <row r="60" spans="1:4">
      <c r="A60"/>
      <c r="B60"/>
      <c r="C60"/>
    </row>
    <row r="61" spans="1:4">
      <c r="A61"/>
      <c r="B61"/>
      <c r="C61"/>
    </row>
    <row r="62" spans="1:4">
      <c r="A62"/>
      <c r="B62"/>
      <c r="C62"/>
    </row>
    <row r="63" spans="1:4">
      <c r="A63"/>
      <c r="B63"/>
      <c r="C63"/>
    </row>
    <row r="64" spans="1:4">
      <c r="A64"/>
      <c r="B64"/>
      <c r="C64"/>
    </row>
    <row r="65" spans="1:3">
      <c r="A65"/>
      <c r="B65"/>
      <c r="C65"/>
    </row>
    <row r="66" spans="1:3">
      <c r="A66"/>
      <c r="B66"/>
      <c r="C66"/>
    </row>
    <row r="67" spans="1:3">
      <c r="A67"/>
      <c r="B67"/>
      <c r="C67"/>
    </row>
    <row r="68" spans="1:3">
      <c r="A68"/>
      <c r="B68"/>
      <c r="C68"/>
    </row>
    <row r="69" spans="1:3">
      <c r="A69"/>
      <c r="B69"/>
      <c r="C69"/>
    </row>
    <row r="70" spans="1:3">
      <c r="A70"/>
      <c r="B70"/>
      <c r="C70"/>
    </row>
    <row r="71" spans="1:3">
      <c r="A71"/>
      <c r="B71"/>
      <c r="C71"/>
    </row>
    <row r="72" spans="1:3">
      <c r="A72"/>
      <c r="B72"/>
      <c r="C72"/>
    </row>
    <row r="73" spans="1:3">
      <c r="A73"/>
      <c r="B73"/>
      <c r="C73"/>
    </row>
    <row r="74" spans="1:3">
      <c r="A74"/>
      <c r="B74"/>
      <c r="C74"/>
    </row>
    <row r="75" spans="1:3">
      <c r="A75"/>
      <c r="B75"/>
      <c r="C75"/>
    </row>
    <row r="76" spans="1:3">
      <c r="A76"/>
      <c r="B76"/>
      <c r="C76"/>
    </row>
    <row r="77" spans="1:3">
      <c r="A77"/>
      <c r="B77"/>
      <c r="C77"/>
    </row>
    <row r="78" spans="1:3">
      <c r="A78"/>
      <c r="B78"/>
      <c r="C78"/>
    </row>
    <row r="79" spans="1:3">
      <c r="A79"/>
      <c r="B79"/>
      <c r="C79"/>
    </row>
    <row r="80" spans="1:3">
      <c r="A80"/>
      <c r="B80"/>
      <c r="C80"/>
    </row>
    <row r="81" spans="1:4">
      <c r="A81"/>
      <c r="B81"/>
      <c r="C81"/>
    </row>
    <row r="82" spans="1:4">
      <c r="A82"/>
      <c r="B82"/>
      <c r="C82"/>
    </row>
    <row r="83" spans="1:4">
      <c r="A83"/>
      <c r="B83"/>
      <c r="C83"/>
    </row>
    <row r="84" spans="1:4">
      <c r="A84"/>
      <c r="B84"/>
      <c r="C84"/>
    </row>
    <row r="87" spans="1:4">
      <c r="A87" s="499" t="s">
        <v>402</v>
      </c>
    </row>
    <row r="88" spans="1:4" ht="31.5">
      <c r="A88" s="500" t="s">
        <v>456</v>
      </c>
      <c r="B88" s="501" t="s">
        <v>457</v>
      </c>
      <c r="C88" s="501" t="s">
        <v>458</v>
      </c>
    </row>
    <row r="89" spans="1:4" customFormat="1">
      <c r="A89" s="413" t="s">
        <v>459</v>
      </c>
      <c r="B89" s="502">
        <v>8.7499999999999994E-2</v>
      </c>
      <c r="C89" s="502">
        <v>9.1399999999999995E-2</v>
      </c>
      <c r="D89" s="465"/>
    </row>
    <row r="90" spans="1:4">
      <c r="A90" s="465" t="s">
        <v>460</v>
      </c>
      <c r="B90" s="503">
        <v>0.11169999999999999</v>
      </c>
      <c r="C90" s="503">
        <v>9.9100000000000008E-2</v>
      </c>
    </row>
    <row r="91" spans="1:4">
      <c r="A91" s="465" t="s">
        <v>461</v>
      </c>
      <c r="B91" s="503">
        <v>6.6299999999999998E-2</v>
      </c>
      <c r="C91" s="503">
        <v>7.1800000000000003E-2</v>
      </c>
    </row>
    <row r="92" spans="1:4">
      <c r="A92" s="465" t="s">
        <v>462</v>
      </c>
      <c r="B92" s="503">
        <v>7.9299999999999995E-2</v>
      </c>
      <c r="C92" s="503">
        <v>6.8600000000000008E-2</v>
      </c>
    </row>
    <row r="93" spans="1:4">
      <c r="A93" s="465" t="s">
        <v>463</v>
      </c>
      <c r="B93" s="503">
        <v>4.3299999999999998E-2</v>
      </c>
      <c r="C93" s="503">
        <v>3.7200000000000004E-2</v>
      </c>
    </row>
    <row r="94" spans="1:4">
      <c r="A94" s="465" t="s">
        <v>464</v>
      </c>
      <c r="B94" s="503">
        <v>0.11349999999999999</v>
      </c>
      <c r="C94" s="503">
        <v>9.9299999999999999E-2</v>
      </c>
    </row>
    <row r="95" spans="1:4">
      <c r="A95" s="465" t="s">
        <v>465</v>
      </c>
      <c r="B95" s="503">
        <v>7.4400000000000008E-2</v>
      </c>
      <c r="C95" s="503">
        <v>8.8000000000000009E-2</v>
      </c>
    </row>
    <row r="96" spans="1:4">
      <c r="A96" s="465" t="s">
        <v>466</v>
      </c>
      <c r="B96" s="503">
        <v>7.9100000000000004E-2</v>
      </c>
      <c r="C96" s="503">
        <v>6.6600000000000006E-2</v>
      </c>
    </row>
    <row r="97" spans="1:3">
      <c r="A97" s="465" t="s">
        <v>467</v>
      </c>
      <c r="B97" s="503">
        <v>6.7900000000000002E-2</v>
      </c>
      <c r="C97" s="503">
        <v>7.8399999999999997E-2</v>
      </c>
    </row>
    <row r="98" spans="1:3">
      <c r="A98" s="465" t="s">
        <v>468</v>
      </c>
      <c r="B98" s="503">
        <v>0.10279999999999999</v>
      </c>
      <c r="C98" s="503">
        <v>0.10679999999999999</v>
      </c>
    </row>
    <row r="99" spans="1:3">
      <c r="A99" s="465" t="s">
        <v>469</v>
      </c>
      <c r="B99" s="503">
        <v>9.5100000000000004E-2</v>
      </c>
      <c r="C99" s="503">
        <v>8.199999999999999E-2</v>
      </c>
    </row>
    <row r="100" spans="1:3">
      <c r="A100" s="465" t="s">
        <v>470</v>
      </c>
      <c r="B100" s="503">
        <v>9.6600000000000005E-2</v>
      </c>
      <c r="C100" s="503">
        <v>8.7400000000000005E-2</v>
      </c>
    </row>
    <row r="101" spans="1:3">
      <c r="A101" s="465" t="s">
        <v>471</v>
      </c>
      <c r="B101" s="503">
        <v>6.6199999999999995E-2</v>
      </c>
      <c r="C101" s="503">
        <v>6.8000000000000005E-2</v>
      </c>
    </row>
    <row r="102" spans="1:3">
      <c r="A102" s="465" t="s">
        <v>472</v>
      </c>
      <c r="B102" s="503">
        <v>6.0599999999999994E-2</v>
      </c>
      <c r="C102" s="503">
        <v>6.3899999999999998E-2</v>
      </c>
    </row>
    <row r="103" spans="1:3">
      <c r="A103" s="465" t="s">
        <v>473</v>
      </c>
      <c r="B103" s="503">
        <v>8.1500000000000003E-2</v>
      </c>
      <c r="C103" s="503">
        <v>8.7300000000000003E-2</v>
      </c>
    </row>
    <row r="104" spans="1:3">
      <c r="A104" s="465" t="s">
        <v>474</v>
      </c>
      <c r="B104" s="503">
        <v>9.3800000000000008E-2</v>
      </c>
      <c r="C104" s="503">
        <v>9.3299999999999994E-2</v>
      </c>
    </row>
    <row r="105" spans="1:3">
      <c r="A105" s="465" t="s">
        <v>475</v>
      </c>
      <c r="B105" s="503">
        <v>6.59E-2</v>
      </c>
      <c r="C105" s="503">
        <v>6.6600000000000006E-2</v>
      </c>
    </row>
    <row r="106" spans="1:3">
      <c r="A106" s="465" t="s">
        <v>476</v>
      </c>
      <c r="B106" s="503">
        <v>0</v>
      </c>
      <c r="C106" s="503">
        <v>0.12820000000000001</v>
      </c>
    </row>
    <row r="107" spans="1:3">
      <c r="A107" s="465" t="s">
        <v>477</v>
      </c>
      <c r="B107" s="503">
        <v>0.13650000000000001</v>
      </c>
      <c r="C107" s="503">
        <v>0.1457</v>
      </c>
    </row>
    <row r="108" spans="1:3">
      <c r="A108" s="465" t="s">
        <v>478</v>
      </c>
      <c r="B108" s="503">
        <v>8.3800000000000013E-2</v>
      </c>
      <c r="C108" s="503">
        <v>8.0799999999999997E-2</v>
      </c>
    </row>
    <row r="109" spans="1:3">
      <c r="A109" s="465" t="s">
        <v>479</v>
      </c>
      <c r="B109" s="503">
        <v>8.0700000000000008E-2</v>
      </c>
      <c r="C109" s="503">
        <v>0.10050000000000001</v>
      </c>
    </row>
    <row r="110" spans="1:3">
      <c r="A110" s="465" t="s">
        <v>480</v>
      </c>
      <c r="B110" s="503">
        <v>8.8599999999999998E-2</v>
      </c>
      <c r="C110" s="503">
        <v>9.4600000000000004E-2</v>
      </c>
    </row>
    <row r="111" spans="1:3">
      <c r="A111" s="465" t="s">
        <v>481</v>
      </c>
      <c r="B111" s="503">
        <v>7.0499999999999993E-2</v>
      </c>
      <c r="C111" s="503">
        <v>7.2400000000000006E-2</v>
      </c>
    </row>
    <row r="112" spans="1:3">
      <c r="A112" s="465" t="s">
        <v>482</v>
      </c>
      <c r="B112" s="503">
        <v>3.6799999999999999E-2</v>
      </c>
      <c r="C112" s="503">
        <v>3.3000000000000002E-2</v>
      </c>
    </row>
    <row r="113" spans="1:3">
      <c r="A113" s="465" t="s">
        <v>483</v>
      </c>
      <c r="B113" s="503">
        <v>9.2499999999999999E-2</v>
      </c>
      <c r="C113" s="503">
        <v>0.10529999999999999</v>
      </c>
    </row>
    <row r="114" spans="1:3">
      <c r="A114" s="465" t="s">
        <v>484</v>
      </c>
      <c r="B114" s="503">
        <v>7.5199999999999989E-2</v>
      </c>
      <c r="C114" s="503">
        <v>8.1500000000000003E-2</v>
      </c>
    </row>
    <row r="115" spans="1:3">
      <c r="A115" s="465" t="s">
        <v>485</v>
      </c>
      <c r="B115" s="503">
        <v>8.6999999999999994E-2</v>
      </c>
      <c r="C115" s="503">
        <v>5.79E-2</v>
      </c>
    </row>
    <row r="116" spans="1:3">
      <c r="A116" s="465" t="s">
        <v>486</v>
      </c>
      <c r="B116" s="503">
        <v>2.8900000000000002E-2</v>
      </c>
      <c r="C116" s="503">
        <v>3.1899999999999998E-2</v>
      </c>
    </row>
    <row r="117" spans="1:3">
      <c r="A117" s="465" t="s">
        <v>487</v>
      </c>
      <c r="B117" s="503">
        <v>7.2000000000000008E-2</v>
      </c>
      <c r="C117" s="503">
        <v>7.7699999999999991E-2</v>
      </c>
    </row>
    <row r="118" spans="1:3">
      <c r="A118" s="465" t="s">
        <v>488</v>
      </c>
      <c r="B118" s="503">
        <v>6.6900000000000001E-2</v>
      </c>
      <c r="C118" s="503">
        <v>9.2300000000000007E-2</v>
      </c>
    </row>
    <row r="119" spans="1:3">
      <c r="A119" s="465" t="s">
        <v>489</v>
      </c>
      <c r="B119" s="503">
        <v>0.1157</v>
      </c>
      <c r="C119" s="503">
        <v>0.1026</v>
      </c>
    </row>
    <row r="120" spans="1:3">
      <c r="A120" s="465" t="s">
        <v>490</v>
      </c>
      <c r="B120" s="503">
        <v>9.0500000000000011E-2</v>
      </c>
      <c r="C120" s="503">
        <v>8.1600000000000006E-2</v>
      </c>
    </row>
    <row r="121" spans="1:3">
      <c r="A121" s="465" t="s">
        <v>491</v>
      </c>
      <c r="B121" s="503">
        <v>8.48E-2</v>
      </c>
      <c r="C121" s="503">
        <v>8.4100000000000008E-2</v>
      </c>
    </row>
    <row r="122" spans="1:3">
      <c r="A122" s="465" t="s">
        <v>492</v>
      </c>
      <c r="B122" s="503">
        <v>7.3300000000000004E-2</v>
      </c>
      <c r="C122" s="503">
        <v>8.0100000000000005E-2</v>
      </c>
    </row>
    <row r="123" spans="1:3">
      <c r="A123" s="465" t="s">
        <v>493</v>
      </c>
      <c r="B123" s="503">
        <v>6.7599999999999993E-2</v>
      </c>
      <c r="C123" s="503">
        <v>7.3700000000000002E-2</v>
      </c>
    </row>
    <row r="124" spans="1:3">
      <c r="A124" s="465" t="s">
        <v>494</v>
      </c>
      <c r="B124" s="503">
        <v>0</v>
      </c>
      <c r="C124" s="503">
        <v>5.1399999999999994E-2</v>
      </c>
    </row>
    <row r="125" spans="1:3">
      <c r="A125" s="465" t="s">
        <v>495</v>
      </c>
      <c r="B125" s="503">
        <v>4.3799999999999999E-2</v>
      </c>
      <c r="C125" s="503">
        <v>4.3099999999999999E-2</v>
      </c>
    </row>
    <row r="126" spans="1:3">
      <c r="A126" s="465" t="s">
        <v>496</v>
      </c>
      <c r="B126" s="503">
        <v>8.539999999999999E-2</v>
      </c>
      <c r="C126" s="503">
        <v>8.3400000000000002E-2</v>
      </c>
    </row>
    <row r="127" spans="1:3">
      <c r="A127" s="465" t="s">
        <v>497</v>
      </c>
      <c r="B127" s="503">
        <v>9.3699999999999992E-2</v>
      </c>
      <c r="C127" s="503">
        <v>0.1052</v>
      </c>
    </row>
    <row r="128" spans="1:3">
      <c r="A128" s="465" t="s">
        <v>498</v>
      </c>
      <c r="B128" s="503">
        <v>0.10859999999999999</v>
      </c>
      <c r="C128" s="503">
        <v>0.1116</v>
      </c>
    </row>
    <row r="129" spans="1:3">
      <c r="A129" s="465" t="s">
        <v>499</v>
      </c>
      <c r="B129" s="503">
        <v>0</v>
      </c>
      <c r="C129" s="503">
        <v>0.25</v>
      </c>
    </row>
    <row r="130" spans="1:3">
      <c r="A130" s="465" t="s">
        <v>500</v>
      </c>
      <c r="B130" s="503">
        <v>0</v>
      </c>
      <c r="C130" s="503">
        <v>0.12689999999999999</v>
      </c>
    </row>
    <row r="131" spans="1:3">
      <c r="A131" s="465" t="s">
        <v>501</v>
      </c>
      <c r="B131" s="503">
        <v>8.2299999999999998E-2</v>
      </c>
      <c r="C131" s="503">
        <v>8.2100000000000006E-2</v>
      </c>
    </row>
    <row r="132" spans="1:3">
      <c r="B132" s="504"/>
      <c r="C132" s="504"/>
    </row>
    <row r="133" spans="1:3">
      <c r="B133" s="504"/>
      <c r="C133" s="504"/>
    </row>
    <row r="134" spans="1:3">
      <c r="B134" s="504"/>
      <c r="C134" s="504"/>
    </row>
    <row r="135" spans="1:3">
      <c r="B135" s="504"/>
      <c r="C135" s="504"/>
    </row>
    <row r="136" spans="1:3">
      <c r="B136" s="504"/>
      <c r="C136" s="504"/>
    </row>
    <row r="137" spans="1:3">
      <c r="B137" s="504"/>
      <c r="C137" s="504"/>
    </row>
    <row r="138" spans="1:3">
      <c r="B138" s="504"/>
      <c r="C138" s="504"/>
    </row>
    <row r="139" spans="1:3">
      <c r="B139" s="504"/>
      <c r="C139" s="504"/>
    </row>
    <row r="140" spans="1:3">
      <c r="B140" s="504"/>
      <c r="C140" s="504"/>
    </row>
    <row r="141" spans="1:3">
      <c r="B141" s="504"/>
      <c r="C141" s="504"/>
    </row>
    <row r="142" spans="1:3">
      <c r="B142" s="504"/>
      <c r="C142" s="504"/>
    </row>
    <row r="143" spans="1:3">
      <c r="B143" s="504"/>
      <c r="C143" s="504"/>
    </row>
    <row r="144" spans="1:3">
      <c r="B144" s="504"/>
      <c r="C144" s="504"/>
    </row>
    <row r="145" spans="2:3">
      <c r="B145" s="504"/>
      <c r="C145" s="504"/>
    </row>
    <row r="146" spans="2:3">
      <c r="B146" s="504"/>
      <c r="C146" s="504"/>
    </row>
    <row r="147" spans="2:3">
      <c r="B147" s="504"/>
      <c r="C147" s="504"/>
    </row>
    <row r="148" spans="2:3">
      <c r="B148" s="504"/>
      <c r="C148" s="504"/>
    </row>
    <row r="149" spans="2:3">
      <c r="B149" s="504"/>
      <c r="C149" s="504"/>
    </row>
    <row r="150" spans="2:3">
      <c r="B150" s="504"/>
      <c r="C150" s="504"/>
    </row>
  </sheetData>
  <mergeCells count="1">
    <mergeCell ref="A43:B43"/>
  </mergeCells>
  <hyperlinks>
    <hyperlink ref="D51" r:id="rId1" location="pineforests"/>
    <hyperlink ref="D50" r:id="rId2" location="vehicles"/>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1:E11"/>
  <sheetViews>
    <sheetView workbookViewId="0">
      <selection activeCell="D17" sqref="D17"/>
    </sheetView>
  </sheetViews>
  <sheetFormatPr defaultRowHeight="15"/>
  <cols>
    <col min="2" max="4" width="29.85546875" customWidth="1"/>
    <col min="5" max="5" width="28.7109375" customWidth="1"/>
  </cols>
  <sheetData>
    <row r="1" spans="2:5">
      <c r="B1" s="510"/>
      <c r="C1" s="510"/>
      <c r="D1" s="510" t="s">
        <v>530</v>
      </c>
      <c r="E1" s="510" t="s">
        <v>531</v>
      </c>
    </row>
    <row r="2" spans="2:5" ht="33.75" customHeight="1">
      <c r="B2" s="584" t="s">
        <v>532</v>
      </c>
      <c r="C2" s="584"/>
      <c r="D2" s="511">
        <f>ROUND(16000000/'Commerce Solar Plus Storage'!D13,0)</f>
        <v>14</v>
      </c>
      <c r="E2" s="510">
        <f>D2*'Emissions Reductions Estimates'!H38</f>
        <v>2786.0566659467117</v>
      </c>
    </row>
    <row r="9" spans="2:5" ht="30">
      <c r="B9" s="255" t="s">
        <v>100</v>
      </c>
      <c r="C9" s="260" t="s">
        <v>101</v>
      </c>
      <c r="D9" s="260" t="s">
        <v>102</v>
      </c>
    </row>
    <row r="10" spans="2:5">
      <c r="B10" s="256" t="s">
        <v>21</v>
      </c>
      <c r="C10" s="283"/>
      <c r="D10" s="283"/>
    </row>
    <row r="11" spans="2:5">
      <c r="B11" s="281" t="s">
        <v>533</v>
      </c>
      <c r="C11" s="282">
        <f>E2*5</f>
        <v>13930.283329733558</v>
      </c>
      <c r="D11" s="282">
        <f>E2*25</f>
        <v>69651.4166486678</v>
      </c>
    </row>
  </sheetData>
  <mergeCells count="1">
    <mergeCell ref="B2:C2"/>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14"/>
  <sheetViews>
    <sheetView workbookViewId="0">
      <selection activeCell="A14" sqref="A14"/>
    </sheetView>
  </sheetViews>
  <sheetFormatPr defaultRowHeight="15"/>
  <cols>
    <col min="1" max="1" width="157.140625" customWidth="1"/>
  </cols>
  <sheetData>
    <row r="1" spans="1:1">
      <c r="A1" s="262" t="s">
        <v>0</v>
      </c>
    </row>
    <row r="2" spans="1:1" ht="45">
      <c r="A2" s="4" t="s">
        <v>534</v>
      </c>
    </row>
    <row r="3" spans="1:1">
      <c r="A3" s="261"/>
    </row>
    <row r="4" spans="1:1">
      <c r="A4" s="261"/>
    </row>
    <row r="5" spans="1:1">
      <c r="A5" s="261"/>
    </row>
    <row r="6" spans="1:1">
      <c r="A6" s="261"/>
    </row>
    <row r="7" spans="1:1">
      <c r="A7" s="261"/>
    </row>
    <row r="8" spans="1:1">
      <c r="A8" s="261"/>
    </row>
    <row r="9" spans="1:1">
      <c r="A9" s="261"/>
    </row>
    <row r="10" spans="1:1">
      <c r="A10" s="261"/>
    </row>
    <row r="11" spans="1:1">
      <c r="A11" s="261"/>
    </row>
    <row r="12" spans="1:1">
      <c r="A12" s="261"/>
    </row>
    <row r="13" spans="1:1">
      <c r="A13" s="263" t="s">
        <v>6</v>
      </c>
    </row>
    <row r="14" spans="1:1">
      <c r="A14" s="319" t="s">
        <v>535</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2:K39"/>
  <sheetViews>
    <sheetView topLeftCell="A7" workbookViewId="0">
      <selection activeCell="E39" sqref="E39"/>
    </sheetView>
  </sheetViews>
  <sheetFormatPr defaultRowHeight="15"/>
  <cols>
    <col min="3" max="3" width="49" customWidth="1"/>
    <col min="4" max="6" width="28" customWidth="1"/>
    <col min="7" max="7" width="25.140625" customWidth="1"/>
    <col min="8" max="8" width="26.5703125" customWidth="1"/>
    <col min="11" max="11" width="90.5703125" customWidth="1"/>
  </cols>
  <sheetData>
    <row r="2" spans="3:11" ht="71.25" customHeight="1">
      <c r="C2" s="585" t="s">
        <v>536</v>
      </c>
      <c r="D2" s="585"/>
      <c r="E2" s="585"/>
      <c r="F2" s="585"/>
      <c r="G2" s="265"/>
      <c r="H2" s="265"/>
      <c r="I2" s="265"/>
      <c r="J2" s="265"/>
      <c r="K2" s="266"/>
    </row>
    <row r="3" spans="3:11">
      <c r="C3" s="265"/>
      <c r="D3" s="265"/>
      <c r="E3" s="265"/>
      <c r="F3" s="265"/>
      <c r="G3" s="265"/>
      <c r="H3" s="265"/>
      <c r="I3" s="265"/>
      <c r="J3" s="265"/>
      <c r="K3" s="265"/>
    </row>
    <row r="4" spans="3:11" ht="15.75">
      <c r="C4" s="267" t="s">
        <v>537</v>
      </c>
      <c r="D4" s="265"/>
      <c r="E4" s="265"/>
      <c r="F4" s="265"/>
      <c r="G4" s="265"/>
      <c r="H4" s="265"/>
      <c r="I4" s="265"/>
      <c r="J4" s="265"/>
      <c r="K4" s="265"/>
    </row>
    <row r="5" spans="3:11" ht="15.75">
      <c r="C5" s="359" t="s">
        <v>538</v>
      </c>
      <c r="D5" s="360" t="s">
        <v>539</v>
      </c>
      <c r="E5" s="360" t="s">
        <v>540</v>
      </c>
      <c r="F5" s="360" t="s">
        <v>541</v>
      </c>
      <c r="G5" s="360" t="s">
        <v>542</v>
      </c>
      <c r="H5" s="361" t="s">
        <v>543</v>
      </c>
      <c r="I5" s="265"/>
      <c r="J5" s="265"/>
      <c r="K5" s="265"/>
    </row>
    <row r="6" spans="3:11" ht="15.75">
      <c r="C6" s="362" t="s">
        <v>544</v>
      </c>
      <c r="D6" s="363">
        <v>57664</v>
      </c>
      <c r="E6" s="364" t="s">
        <v>545</v>
      </c>
      <c r="F6" s="364">
        <f>D6*100</f>
        <v>5766400</v>
      </c>
      <c r="G6" s="364">
        <f>F6*0.053</f>
        <v>305619.20000000001</v>
      </c>
      <c r="H6" s="365">
        <f>G6/1000</f>
        <v>305.61920000000003</v>
      </c>
      <c r="I6" s="265"/>
      <c r="J6" s="265"/>
      <c r="K6" s="265"/>
    </row>
    <row r="7" spans="3:11" ht="15.75">
      <c r="C7" s="362" t="s">
        <v>546</v>
      </c>
      <c r="D7" s="363">
        <v>14489</v>
      </c>
      <c r="E7" s="364" t="s">
        <v>547</v>
      </c>
      <c r="F7" s="364">
        <f>D7*1194</f>
        <v>17299866</v>
      </c>
      <c r="G7" s="364">
        <f>F7*0.081</f>
        <v>1401289.1459999999</v>
      </c>
      <c r="H7" s="365">
        <f t="shared" ref="H7" si="0">G7/1000</f>
        <v>1401.2891459999998</v>
      </c>
      <c r="I7" s="265"/>
      <c r="J7" s="265"/>
      <c r="K7" s="265"/>
    </row>
    <row r="8" spans="3:11" ht="15.75">
      <c r="C8" s="362" t="s">
        <v>548</v>
      </c>
      <c r="D8" s="366" t="s">
        <v>549</v>
      </c>
      <c r="E8" s="366" t="s">
        <v>550</v>
      </c>
      <c r="F8" s="366">
        <f>-D8*3.412</f>
        <v>9455464.0559999999</v>
      </c>
      <c r="G8" s="366">
        <f>0.0058*F8</f>
        <v>54841.691524799993</v>
      </c>
      <c r="H8" s="365">
        <f>G8/1000</f>
        <v>54.841691524799991</v>
      </c>
      <c r="I8" s="265"/>
      <c r="J8" s="265"/>
      <c r="K8" s="265"/>
    </row>
    <row r="9" spans="3:11" ht="15.75">
      <c r="C9" s="367" t="s">
        <v>551</v>
      </c>
      <c r="D9" s="368" t="s">
        <v>21</v>
      </c>
      <c r="E9" s="368"/>
      <c r="F9" s="368"/>
      <c r="G9" s="368"/>
      <c r="H9" s="369">
        <f>SUM(H6:H8)</f>
        <v>1761.7500375247998</v>
      </c>
      <c r="I9" s="265"/>
      <c r="J9" s="265"/>
      <c r="K9" s="265"/>
    </row>
    <row r="10" spans="3:11" ht="15.75">
      <c r="C10" s="268" t="s">
        <v>21</v>
      </c>
      <c r="D10" s="265"/>
      <c r="E10" s="265"/>
      <c r="F10" s="265"/>
      <c r="G10" s="265"/>
      <c r="I10" s="265"/>
      <c r="J10" s="265"/>
      <c r="K10" s="265"/>
    </row>
    <row r="11" spans="3:11" ht="15.75">
      <c r="C11" s="268" t="s">
        <v>552</v>
      </c>
      <c r="D11" s="265" t="s">
        <v>553</v>
      </c>
      <c r="E11" s="265"/>
      <c r="F11" s="265"/>
      <c r="G11" s="265"/>
      <c r="H11" s="265"/>
      <c r="I11" s="265"/>
      <c r="J11" s="265"/>
      <c r="K11" s="265"/>
    </row>
    <row r="12" spans="3:11" ht="15.75">
      <c r="C12" s="268" t="s">
        <v>554</v>
      </c>
      <c r="D12" s="265"/>
      <c r="E12" s="265"/>
      <c r="F12" s="265"/>
      <c r="G12" s="265"/>
      <c r="H12" s="265"/>
      <c r="I12" s="265"/>
      <c r="J12" s="265"/>
      <c r="K12" s="268" t="s">
        <v>555</v>
      </c>
    </row>
    <row r="13" spans="3:11" ht="15.75">
      <c r="C13" s="268" t="s">
        <v>21</v>
      </c>
      <c r="D13" s="265"/>
      <c r="E13" s="265"/>
      <c r="F13" s="265"/>
      <c r="G13" s="265"/>
      <c r="H13" s="265"/>
      <c r="I13" s="265"/>
      <c r="J13" s="265"/>
      <c r="K13" s="268" t="s">
        <v>21</v>
      </c>
    </row>
    <row r="14" spans="3:11" ht="15.75">
      <c r="C14" s="268"/>
      <c r="D14" s="265"/>
      <c r="E14" s="265"/>
      <c r="F14" s="265"/>
      <c r="G14" s="265"/>
      <c r="H14" s="265"/>
      <c r="I14" s="265"/>
      <c r="J14" s="265"/>
      <c r="K14" s="268" t="s">
        <v>556</v>
      </c>
    </row>
    <row r="15" spans="3:11" ht="15.75">
      <c r="C15" s="268"/>
      <c r="D15" s="265"/>
      <c r="E15" s="265"/>
      <c r="F15" s="265"/>
      <c r="G15" s="265"/>
      <c r="H15" s="265"/>
      <c r="I15" s="265"/>
      <c r="J15" s="265"/>
      <c r="K15" s="268" t="s">
        <v>557</v>
      </c>
    </row>
    <row r="16" spans="3:11" ht="15.75">
      <c r="C16" s="268"/>
      <c r="D16" s="265"/>
      <c r="E16" s="265"/>
      <c r="F16" s="265"/>
      <c r="G16" s="265"/>
      <c r="H16" s="265"/>
      <c r="I16" s="265"/>
      <c r="J16" s="265"/>
      <c r="K16" s="268" t="s">
        <v>558</v>
      </c>
    </row>
    <row r="17" spans="3:11" ht="15.75">
      <c r="C17" s="268"/>
      <c r="D17" s="265"/>
      <c r="E17" s="265"/>
      <c r="F17" s="265"/>
      <c r="G17" s="265"/>
      <c r="H17" s="265"/>
      <c r="I17" s="265"/>
      <c r="J17" s="265"/>
      <c r="K17" s="268" t="s">
        <v>559</v>
      </c>
    </row>
    <row r="18" spans="3:11" ht="15.75">
      <c r="C18" s="268" t="s">
        <v>21</v>
      </c>
      <c r="D18" s="265"/>
      <c r="E18" s="265"/>
      <c r="F18" s="265"/>
      <c r="G18" s="265"/>
      <c r="H18" s="265"/>
      <c r="I18" s="265"/>
      <c r="J18" s="265"/>
      <c r="K18" s="265"/>
    </row>
    <row r="19" spans="3:11" ht="15.75">
      <c r="C19" s="267" t="s">
        <v>560</v>
      </c>
      <c r="D19" s="265"/>
      <c r="E19" s="265"/>
      <c r="F19" s="265"/>
      <c r="G19" s="265"/>
      <c r="H19" s="265"/>
      <c r="I19" s="265"/>
      <c r="J19" s="265"/>
      <c r="K19" s="265"/>
    </row>
    <row r="20" spans="3:11" ht="15.75">
      <c r="C20" s="359"/>
      <c r="D20" s="360" t="s">
        <v>539</v>
      </c>
      <c r="E20" s="360" t="s">
        <v>561</v>
      </c>
      <c r="F20" s="360" t="s">
        <v>541</v>
      </c>
      <c r="G20" s="360" t="s">
        <v>542</v>
      </c>
      <c r="H20" s="361" t="s">
        <v>543</v>
      </c>
      <c r="I20" s="265"/>
      <c r="J20" s="265"/>
      <c r="K20" s="265"/>
    </row>
    <row r="21" spans="3:11" ht="15.75">
      <c r="C21" s="362" t="s">
        <v>544</v>
      </c>
      <c r="D21" s="364">
        <v>15000</v>
      </c>
      <c r="E21" s="364" t="s">
        <v>545</v>
      </c>
      <c r="F21" s="364">
        <f>D21*100</f>
        <v>1500000</v>
      </c>
      <c r="G21" s="364">
        <f>F21*0.053</f>
        <v>79500</v>
      </c>
      <c r="H21" s="365">
        <f>G21/1000</f>
        <v>79.5</v>
      </c>
      <c r="I21" s="265"/>
      <c r="J21" s="265"/>
      <c r="K21" s="265"/>
    </row>
    <row r="22" spans="3:11" ht="15.75">
      <c r="C22" s="362" t="s">
        <v>548</v>
      </c>
      <c r="D22" s="366">
        <v>-140680</v>
      </c>
      <c r="E22" s="366" t="s">
        <v>550</v>
      </c>
      <c r="F22" s="366">
        <f>D22*3.412</f>
        <v>-480000.16</v>
      </c>
      <c r="G22" s="364">
        <f>F22*0.0058</f>
        <v>-2784.0009279999995</v>
      </c>
      <c r="H22" s="365">
        <f t="shared" ref="H22" si="1">G22/1000</f>
        <v>-2.7840009279999993</v>
      </c>
      <c r="I22" s="265"/>
      <c r="J22" s="265"/>
      <c r="K22" s="265"/>
    </row>
    <row r="23" spans="3:11" ht="15.75">
      <c r="C23" s="367" t="s">
        <v>551</v>
      </c>
      <c r="D23" s="368" t="s">
        <v>21</v>
      </c>
      <c r="E23" s="368"/>
      <c r="F23" s="368"/>
      <c r="G23" s="368"/>
      <c r="H23" s="370">
        <f>SUM(H21:H22)</f>
        <v>76.715999072000002</v>
      </c>
      <c r="I23" s="265"/>
      <c r="J23" s="265"/>
      <c r="K23" s="265"/>
    </row>
    <row r="24" spans="3:11">
      <c r="C24" s="264"/>
      <c r="D24" s="327"/>
      <c r="E24" s="265"/>
      <c r="F24" s="265"/>
      <c r="G24" s="265"/>
      <c r="H24" s="265"/>
      <c r="I24" s="265"/>
      <c r="J24" s="265"/>
      <c r="K24" s="265"/>
    </row>
    <row r="25" spans="3:11">
      <c r="D25" s="265"/>
      <c r="E25" s="265"/>
      <c r="F25" s="265"/>
      <c r="G25" s="265"/>
      <c r="H25" s="265"/>
      <c r="I25" s="265"/>
      <c r="J25" s="265"/>
      <c r="K25" s="265"/>
    </row>
    <row r="26" spans="3:11" ht="15.75">
      <c r="C26" s="371" t="s">
        <v>562</v>
      </c>
      <c r="E26" s="265"/>
      <c r="F26" s="265"/>
      <c r="G26" s="265"/>
      <c r="H26" s="265"/>
      <c r="I26" s="265"/>
      <c r="J26" s="265"/>
      <c r="K26" s="265"/>
    </row>
    <row r="27" spans="3:11">
      <c r="E27" s="265"/>
      <c r="F27" s="265"/>
      <c r="G27" s="265"/>
      <c r="H27" s="265"/>
      <c r="I27" s="265"/>
      <c r="J27" s="265"/>
      <c r="K27" s="265"/>
    </row>
    <row r="28" spans="3:11">
      <c r="C28" s="377" t="s">
        <v>563</v>
      </c>
      <c r="D28" s="376">
        <v>29880778.25</v>
      </c>
      <c r="E28" s="265"/>
      <c r="F28" s="265"/>
      <c r="G28" s="265"/>
      <c r="H28" s="265"/>
      <c r="I28" s="265"/>
      <c r="J28" s="265"/>
      <c r="K28" s="265"/>
    </row>
    <row r="29" spans="3:11">
      <c r="C29" s="372" t="s">
        <v>564</v>
      </c>
      <c r="D29" s="378">
        <v>10533521</v>
      </c>
      <c r="E29" s="265"/>
      <c r="F29" s="265"/>
      <c r="G29" s="265"/>
      <c r="H29" s="265"/>
      <c r="I29" s="265"/>
      <c r="J29" s="265"/>
      <c r="K29" s="265"/>
    </row>
    <row r="30" spans="3:11">
      <c r="C30" s="372" t="s">
        <v>565</v>
      </c>
      <c r="D30" s="373">
        <f>SUM(H9,H23)</f>
        <v>1838.4660365967998</v>
      </c>
    </row>
    <row r="31" spans="3:11">
      <c r="C31" s="374" t="s">
        <v>566</v>
      </c>
      <c r="D31" s="375">
        <f>(D29/D28)*D30</f>
        <v>648.09291251572938</v>
      </c>
    </row>
    <row r="32" spans="3:11">
      <c r="D32" s="265"/>
    </row>
    <row r="33" spans="3:5">
      <c r="D33" s="265"/>
    </row>
    <row r="34" spans="3:5">
      <c r="C34" s="265"/>
      <c r="D34" s="265"/>
    </row>
    <row r="35" spans="3:5">
      <c r="C35" s="265"/>
      <c r="D35" s="265"/>
    </row>
    <row r="37" spans="3:5" ht="33">
      <c r="C37" s="322" t="s">
        <v>567</v>
      </c>
      <c r="D37" s="323" t="s">
        <v>568</v>
      </c>
      <c r="E37" s="323" t="s">
        <v>569</v>
      </c>
    </row>
    <row r="38" spans="3:5">
      <c r="C38" s="324" t="s">
        <v>570</v>
      </c>
      <c r="D38" s="379"/>
      <c r="E38" s="379"/>
    </row>
    <row r="39" spans="3:5">
      <c r="C39" s="325" t="s">
        <v>571</v>
      </c>
      <c r="D39" s="380">
        <f>D31*4.5</f>
        <v>2916.418106320782</v>
      </c>
      <c r="E39" s="380">
        <f>D31*24.5</f>
        <v>15878.27635663537</v>
      </c>
    </row>
  </sheetData>
  <mergeCells count="1">
    <mergeCell ref="C2:F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E35"/>
  <sheetViews>
    <sheetView workbookViewId="0">
      <selection activeCell="C11" sqref="C11"/>
    </sheetView>
  </sheetViews>
  <sheetFormatPr defaultRowHeight="15"/>
  <cols>
    <col min="2" max="2" width="135.140625" style="7" customWidth="1"/>
    <col min="3" max="5" width="21.85546875" customWidth="1"/>
  </cols>
  <sheetData>
    <row r="2" spans="2:5">
      <c r="B2" s="519" t="s">
        <v>8</v>
      </c>
    </row>
    <row r="3" spans="2:5" ht="45">
      <c r="B3" s="320" t="s">
        <v>9</v>
      </c>
    </row>
    <row r="4" spans="2:5">
      <c r="B4" s="520" t="s">
        <v>10</v>
      </c>
    </row>
    <row r="5" spans="2:5" ht="45">
      <c r="B5" s="321" t="s">
        <v>11</v>
      </c>
    </row>
    <row r="6" spans="2:5">
      <c r="B6" s="320" t="s">
        <v>12</v>
      </c>
    </row>
    <row r="7" spans="2:5">
      <c r="B7" s="320" t="s">
        <v>13</v>
      </c>
    </row>
    <row r="8" spans="2:5">
      <c r="B8" s="320" t="s">
        <v>14</v>
      </c>
    </row>
    <row r="9" spans="2:5">
      <c r="B9" s="320" t="s">
        <v>15</v>
      </c>
    </row>
    <row r="10" spans="2:5" ht="30">
      <c r="B10" s="320" t="s">
        <v>16</v>
      </c>
    </row>
    <row r="11" spans="2:5">
      <c r="B11" s="320" t="s">
        <v>17</v>
      </c>
    </row>
    <row r="12" spans="2:5">
      <c r="B12" s="320" t="s">
        <v>18</v>
      </c>
    </row>
    <row r="14" spans="2:5" ht="60">
      <c r="B14" s="320" t="s">
        <v>19</v>
      </c>
    </row>
    <row r="15" spans="2:5">
      <c r="B15" s="521" t="s">
        <v>20</v>
      </c>
    </row>
    <row r="16" spans="2:5">
      <c r="B16" s="522" t="s">
        <v>21</v>
      </c>
      <c r="C16" s="216" t="s">
        <v>22</v>
      </c>
      <c r="D16" s="216" t="s">
        <v>23</v>
      </c>
      <c r="E16" s="216" t="s">
        <v>23</v>
      </c>
    </row>
    <row r="17" spans="2:5">
      <c r="B17" s="523" t="s">
        <v>24</v>
      </c>
      <c r="C17" s="217" t="s">
        <v>25</v>
      </c>
      <c r="D17" s="217" t="s">
        <v>26</v>
      </c>
      <c r="E17" s="217" t="s">
        <v>27</v>
      </c>
    </row>
    <row r="18" spans="2:5">
      <c r="B18" s="524"/>
      <c r="C18" s="219" t="s">
        <v>28</v>
      </c>
      <c r="D18" s="218"/>
      <c r="E18" s="218"/>
    </row>
    <row r="19" spans="2:5">
      <c r="B19" s="522" t="s">
        <v>29</v>
      </c>
      <c r="C19" s="220" t="s">
        <v>30</v>
      </c>
      <c r="D19" s="215" t="s">
        <v>31</v>
      </c>
      <c r="E19" s="215" t="s">
        <v>32</v>
      </c>
    </row>
    <row r="20" spans="2:5">
      <c r="B20" s="522" t="s">
        <v>33</v>
      </c>
      <c r="C20" s="220" t="s">
        <v>34</v>
      </c>
      <c r="D20" s="215" t="s">
        <v>31</v>
      </c>
      <c r="E20" s="215" t="s">
        <v>35</v>
      </c>
    </row>
    <row r="21" spans="2:5">
      <c r="B21" s="522" t="s">
        <v>36</v>
      </c>
      <c r="C21" s="220" t="s">
        <v>37</v>
      </c>
      <c r="D21" s="215" t="s">
        <v>31</v>
      </c>
      <c r="E21" s="215" t="s">
        <v>38</v>
      </c>
    </row>
    <row r="22" spans="2:5">
      <c r="B22" s="522" t="s">
        <v>39</v>
      </c>
      <c r="C22" s="220" t="s">
        <v>40</v>
      </c>
      <c r="D22" s="215" t="s">
        <v>31</v>
      </c>
      <c r="E22" s="215" t="s">
        <v>41</v>
      </c>
    </row>
    <row r="23" spans="2:5">
      <c r="B23" s="522" t="s">
        <v>42</v>
      </c>
      <c r="C23" s="220" t="s">
        <v>43</v>
      </c>
      <c r="D23" s="215" t="s">
        <v>44</v>
      </c>
      <c r="E23" s="215" t="s">
        <v>45</v>
      </c>
    </row>
    <row r="24" spans="2:5">
      <c r="B24" s="522" t="s">
        <v>46</v>
      </c>
      <c r="C24" s="220" t="s">
        <v>47</v>
      </c>
      <c r="D24" s="215" t="s">
        <v>44</v>
      </c>
      <c r="E24" s="215" t="s">
        <v>48</v>
      </c>
    </row>
    <row r="28" spans="2:5">
      <c r="B28" s="519" t="s">
        <v>49</v>
      </c>
    </row>
    <row r="29" spans="2:5" ht="45">
      <c r="B29" s="320" t="s">
        <v>50</v>
      </c>
    </row>
    <row r="30" spans="2:5" ht="30">
      <c r="B30" s="321" t="s">
        <v>51</v>
      </c>
    </row>
    <row r="31" spans="2:5" ht="30">
      <c r="B31" s="320" t="s">
        <v>52</v>
      </c>
    </row>
    <row r="32" spans="2:5">
      <c r="B32" s="525" t="s">
        <v>53</v>
      </c>
    </row>
    <row r="33" spans="2:2">
      <c r="B33" s="320" t="s">
        <v>54</v>
      </c>
    </row>
    <row r="34" spans="2:2">
      <c r="B34" s="525" t="s">
        <v>55</v>
      </c>
    </row>
    <row r="35" spans="2:2" ht="30">
      <c r="B35" s="320" t="s">
        <v>56</v>
      </c>
    </row>
  </sheetData>
  <hyperlinks>
    <hyperlink ref="B5" r:id="rId1" display="Emissions can be calculated per VMT using the Bureau of Transportation Statistics (BTS)’s public dataset, Estimated U.S. Average Vehicle Emissions Rates per Vehicle by Vehicle Type Using Gasoline and Diesel. Calculations were made using BTS’s emissions data for a heavy-duty vehicle powered by diesel gas (model year 2015). BTS estimates that for each mile, this vehicle would emit: "/>
    <hyperlink ref="B30" r:id="rId2"/>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40"/>
  <sheetViews>
    <sheetView topLeftCell="A9" workbookViewId="0">
      <selection activeCell="F21" sqref="F21"/>
    </sheetView>
  </sheetViews>
  <sheetFormatPr defaultRowHeight="15"/>
  <cols>
    <col min="1" max="1" width="160.7109375" customWidth="1"/>
  </cols>
  <sheetData>
    <row r="1" spans="1:1">
      <c r="A1" s="262" t="s">
        <v>0</v>
      </c>
    </row>
    <row r="2" spans="1:1" ht="45">
      <c r="A2" s="4" t="s">
        <v>572</v>
      </c>
    </row>
    <row r="3" spans="1:1">
      <c r="A3" s="261"/>
    </row>
    <row r="4" spans="1:1">
      <c r="A4" s="261"/>
    </row>
    <row r="5" spans="1:1">
      <c r="A5" s="261"/>
    </row>
    <row r="6" spans="1:1">
      <c r="A6" s="261"/>
    </row>
    <row r="7" spans="1:1">
      <c r="A7" s="261"/>
    </row>
    <row r="8" spans="1:1">
      <c r="A8" s="261"/>
    </row>
    <row r="9" spans="1:1">
      <c r="A9" s="261"/>
    </row>
    <row r="10" spans="1:1">
      <c r="A10" s="261"/>
    </row>
    <row r="11" spans="1:1">
      <c r="A11" s="261"/>
    </row>
    <row r="12" spans="1:1">
      <c r="A12" s="261"/>
    </row>
    <row r="13" spans="1:1">
      <c r="A13" s="263" t="s">
        <v>6</v>
      </c>
    </row>
    <row r="14" spans="1:1">
      <c r="A14" s="269" t="s">
        <v>573</v>
      </c>
    </row>
    <row r="15" spans="1:1">
      <c r="A15" s="319" t="s">
        <v>574</v>
      </c>
    </row>
    <row r="16" spans="1:1">
      <c r="A16" s="269" t="s">
        <v>575</v>
      </c>
    </row>
    <row r="17" spans="1:2">
      <c r="A17" s="269" t="s">
        <v>21</v>
      </c>
    </row>
    <row r="18" spans="1:2">
      <c r="A18" s="269" t="s">
        <v>576</v>
      </c>
    </row>
    <row r="19" spans="1:2">
      <c r="A19" s="270" t="s">
        <v>577</v>
      </c>
    </row>
    <row r="20" spans="1:2">
      <c r="A20" s="270" t="s">
        <v>578</v>
      </c>
    </row>
    <row r="21" spans="1:2">
      <c r="A21" s="269" t="s">
        <v>21</v>
      </c>
    </row>
    <row r="22" spans="1:2">
      <c r="A22" s="269" t="s">
        <v>579</v>
      </c>
    </row>
    <row r="23" spans="1:2">
      <c r="A23" s="270" t="s">
        <v>580</v>
      </c>
    </row>
    <row r="24" spans="1:2">
      <c r="A24" s="270" t="s">
        <v>581</v>
      </c>
    </row>
    <row r="27" spans="1:2">
      <c r="A27" s="406" t="s">
        <v>582</v>
      </c>
      <c r="B27" s="407"/>
    </row>
    <row r="28" spans="1:2">
      <c r="A28" s="408" t="s">
        <v>583</v>
      </c>
    </row>
    <row r="29" spans="1:2">
      <c r="A29" s="409" t="s">
        <v>21</v>
      </c>
    </row>
    <row r="30" spans="1:2">
      <c r="A30" s="406" t="s">
        <v>584</v>
      </c>
      <c r="B30" s="407"/>
    </row>
    <row r="31" spans="1:2">
      <c r="A31" s="408" t="s">
        <v>585</v>
      </c>
    </row>
    <row r="32" spans="1:2">
      <c r="A32" s="406" t="s">
        <v>21</v>
      </c>
    </row>
    <row r="33" spans="1:2">
      <c r="A33" s="406" t="s">
        <v>586</v>
      </c>
      <c r="B33" s="407"/>
    </row>
    <row r="34" spans="1:2">
      <c r="A34" s="408" t="s">
        <v>587</v>
      </c>
    </row>
    <row r="35" spans="1:2" ht="18">
      <c r="A35" s="411" t="s">
        <v>588</v>
      </c>
    </row>
    <row r="36" spans="1:2">
      <c r="A36" s="408" t="s">
        <v>589</v>
      </c>
    </row>
    <row r="37" spans="1:2">
      <c r="A37" s="410" t="s">
        <v>590</v>
      </c>
    </row>
    <row r="40" spans="1:2" ht="30">
      <c r="A40" s="412" t="s">
        <v>591</v>
      </c>
    </row>
  </sheetData>
  <hyperlinks>
    <hyperlink ref="A28" r:id="rId1"/>
    <hyperlink ref="A31" r:id="rId2"/>
    <hyperlink ref="A34" r:id="rId3"/>
    <hyperlink ref="A36" r:id="rId4"/>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19"/>
  <sheetViews>
    <sheetView workbookViewId="0">
      <selection activeCell="M13" sqref="M13"/>
    </sheetView>
  </sheetViews>
  <sheetFormatPr defaultRowHeight="15"/>
  <cols>
    <col min="1" max="1" width="21.5703125" customWidth="1"/>
    <col min="2" max="2" width="10.42578125" customWidth="1"/>
    <col min="3" max="3" width="36.42578125" customWidth="1"/>
    <col min="4" max="5" width="12" customWidth="1"/>
    <col min="6" max="6" width="15.85546875" customWidth="1"/>
    <col min="7" max="8" width="14" customWidth="1"/>
    <col min="9" max="9" width="16.42578125" customWidth="1"/>
    <col min="10" max="10" width="18.42578125" customWidth="1"/>
    <col min="11" max="11" width="19" customWidth="1"/>
    <col min="13" max="13" width="33.28515625" customWidth="1"/>
    <col min="14" max="14" width="12.28515625" bestFit="1" customWidth="1"/>
    <col min="15" max="15" width="19.140625" customWidth="1"/>
  </cols>
  <sheetData>
    <row r="1" spans="1:15" ht="43.5" customHeight="1">
      <c r="A1" s="381" t="s">
        <v>592</v>
      </c>
      <c r="B1" s="381" t="s">
        <v>593</v>
      </c>
      <c r="C1" s="381" t="s">
        <v>594</v>
      </c>
      <c r="D1" s="381" t="s">
        <v>595</v>
      </c>
      <c r="E1" s="381" t="s">
        <v>596</v>
      </c>
      <c r="F1" s="381" t="s">
        <v>597</v>
      </c>
      <c r="G1" s="381" t="s">
        <v>598</v>
      </c>
      <c r="H1" s="381" t="s">
        <v>599</v>
      </c>
      <c r="I1" s="381" t="s">
        <v>600</v>
      </c>
      <c r="J1" s="381" t="s">
        <v>601</v>
      </c>
      <c r="K1" s="381" t="s">
        <v>602</v>
      </c>
      <c r="M1" s="528" t="s">
        <v>603</v>
      </c>
      <c r="N1" s="529" t="s">
        <v>604</v>
      </c>
      <c r="O1" s="529" t="s">
        <v>561</v>
      </c>
    </row>
    <row r="2" spans="1:15">
      <c r="A2" s="382" t="s">
        <v>605</v>
      </c>
      <c r="B2" s="383">
        <v>77226</v>
      </c>
      <c r="C2" s="382" t="s">
        <v>606</v>
      </c>
      <c r="D2" s="383">
        <v>-65820.149999999441</v>
      </c>
      <c r="E2" s="383">
        <v>77905.629999999961</v>
      </c>
      <c r="F2" s="384">
        <v>49103.778625000014</v>
      </c>
      <c r="G2" s="385">
        <f t="shared" ref="G2:G11" si="0">D2*$N$4</f>
        <v>-20.404246499999825</v>
      </c>
      <c r="H2" s="385">
        <f t="shared" ref="H2:H11" si="1">E2*$N$5/$N$6</f>
        <v>516.12479874999974</v>
      </c>
      <c r="I2" s="385">
        <f>G2+H2</f>
        <v>495.72055224999991</v>
      </c>
      <c r="J2" s="386">
        <v>1936688</v>
      </c>
      <c r="K2" s="384">
        <f>J2*($N$7+1)</f>
        <v>2322938.0408343337</v>
      </c>
      <c r="M2" s="387" t="s">
        <v>607</v>
      </c>
      <c r="N2" s="388">
        <v>8.2500000000000004E-2</v>
      </c>
      <c r="O2" s="388" t="s">
        <v>608</v>
      </c>
    </row>
    <row r="3" spans="1:15">
      <c r="A3" s="389" t="s">
        <v>609</v>
      </c>
      <c r="B3" s="390">
        <v>81120</v>
      </c>
      <c r="C3" s="389" t="s">
        <v>610</v>
      </c>
      <c r="D3" s="390">
        <v>-21689.290000000037</v>
      </c>
      <c r="E3" s="390">
        <v>18627.540000000008</v>
      </c>
      <c r="F3" s="391">
        <v>11249.911575000002</v>
      </c>
      <c r="G3" s="392">
        <f>D3*$N$4</f>
        <v>-6.7236799000000111</v>
      </c>
      <c r="H3" s="392">
        <f>E3*$N$5/$N$6</f>
        <v>123.40745250000005</v>
      </c>
      <c r="I3" s="392">
        <f>G3+H3</f>
        <v>116.68377260000004</v>
      </c>
      <c r="J3" s="391">
        <v>1005493</v>
      </c>
      <c r="K3" s="391">
        <f>J3*($N$7+1)</f>
        <v>1206026.9591656667</v>
      </c>
      <c r="M3" s="393" t="s">
        <v>611</v>
      </c>
      <c r="N3" s="394">
        <v>0.7</v>
      </c>
      <c r="O3" s="395" t="s">
        <v>612</v>
      </c>
    </row>
    <row r="4" spans="1:15" ht="18">
      <c r="A4" s="389" t="s">
        <v>613</v>
      </c>
      <c r="B4" s="390">
        <v>167346</v>
      </c>
      <c r="C4" s="389" t="s">
        <v>614</v>
      </c>
      <c r="D4" s="390">
        <v>250298.56000000006</v>
      </c>
      <c r="E4" s="390">
        <v>5836.5300000000134</v>
      </c>
      <c r="F4" s="391">
        <v>24735.202200000014</v>
      </c>
      <c r="G4" s="392">
        <f>D4*$N$4</f>
        <v>77.592553600000016</v>
      </c>
      <c r="H4" s="392">
        <f>E4*$N$5/$N$6</f>
        <v>38.667011250000087</v>
      </c>
      <c r="I4" s="392">
        <f>G4+H4</f>
        <v>116.2595648500001</v>
      </c>
      <c r="J4" s="391">
        <v>17920</v>
      </c>
      <c r="K4" s="391">
        <f>J4*($N$8+1)</f>
        <v>25546.481437125749</v>
      </c>
      <c r="M4" s="393" t="s">
        <v>615</v>
      </c>
      <c r="N4" s="396">
        <v>3.1E-4</v>
      </c>
      <c r="O4" s="395" t="s">
        <v>616</v>
      </c>
    </row>
    <row r="5" spans="1:15" ht="18">
      <c r="A5" s="389" t="s">
        <v>613</v>
      </c>
      <c r="B5" s="390"/>
      <c r="C5" s="389" t="s">
        <v>617</v>
      </c>
      <c r="D5" s="390">
        <v>672.56000000005588</v>
      </c>
      <c r="E5" s="390">
        <v>3826.0100000000166</v>
      </c>
      <c r="F5" s="391">
        <v>2733.6932000000161</v>
      </c>
      <c r="G5" s="392">
        <f>D5*$N$4</f>
        <v>0.20849360000001732</v>
      </c>
      <c r="H5" s="392">
        <f>E5*$N$5/$N$6</f>
        <v>25.347316250000109</v>
      </c>
      <c r="I5" s="392">
        <f>G5+H5</f>
        <v>25.555809850000127</v>
      </c>
      <c r="J5" s="391">
        <v>112000.00000000001</v>
      </c>
      <c r="K5" s="391">
        <f>J5*($N$8+1)</f>
        <v>159665.50898203594</v>
      </c>
      <c r="M5" s="393" t="s">
        <v>618</v>
      </c>
      <c r="N5" s="396">
        <v>5.3E-3</v>
      </c>
      <c r="O5" s="395" t="s">
        <v>619</v>
      </c>
    </row>
    <row r="6" spans="1:15">
      <c r="A6" s="389" t="s">
        <v>620</v>
      </c>
      <c r="B6" s="390">
        <v>131365</v>
      </c>
      <c r="C6" s="389" t="s">
        <v>621</v>
      </c>
      <c r="D6" s="390">
        <v>180079.39000000013</v>
      </c>
      <c r="E6" s="390">
        <v>14809.260000000002</v>
      </c>
      <c r="F6" s="391">
        <v>25223.031675000013</v>
      </c>
      <c r="G6" s="392">
        <f t="shared" si="0"/>
        <v>55.824610900000039</v>
      </c>
      <c r="H6" s="392">
        <f t="shared" si="1"/>
        <v>98.111347500000008</v>
      </c>
      <c r="I6" s="392">
        <f t="shared" ref="I6:I11" si="2">G6+H6</f>
        <v>153.93595840000006</v>
      </c>
      <c r="J6" s="391">
        <v>112000</v>
      </c>
      <c r="K6" s="391">
        <f t="shared" ref="K6:K11" si="3">J6*($N$8+1)</f>
        <v>159665.50898203594</v>
      </c>
      <c r="M6" s="393" t="s">
        <v>622</v>
      </c>
      <c r="N6" s="397">
        <v>0.8</v>
      </c>
      <c r="O6" s="395"/>
    </row>
    <row r="7" spans="1:15">
      <c r="A7" s="389" t="s">
        <v>623</v>
      </c>
      <c r="B7" s="390">
        <v>77592</v>
      </c>
      <c r="C7" s="389" t="s">
        <v>624</v>
      </c>
      <c r="D7" s="390">
        <v>74011.780000000028</v>
      </c>
      <c r="E7" s="390">
        <v>12931.110000000008</v>
      </c>
      <c r="F7" s="391">
        <v>15157.748850000007</v>
      </c>
      <c r="G7" s="392">
        <f t="shared" si="0"/>
        <v>22.943651800000008</v>
      </c>
      <c r="H7" s="392">
        <f t="shared" si="1"/>
        <v>85.668603750000045</v>
      </c>
      <c r="I7" s="392">
        <f t="shared" si="2"/>
        <v>108.61225555000006</v>
      </c>
      <c r="J7" s="391">
        <v>224000</v>
      </c>
      <c r="K7" s="391">
        <f t="shared" si="3"/>
        <v>319331.01796407189</v>
      </c>
      <c r="M7" s="393" t="s">
        <v>625</v>
      </c>
      <c r="N7" s="398">
        <f>3528965/2942181-1</f>
        <v>0.19943844379390674</v>
      </c>
      <c r="O7" s="395"/>
    </row>
    <row r="8" spans="1:15">
      <c r="A8" s="389" t="s">
        <v>626</v>
      </c>
      <c r="B8" s="390">
        <v>107971</v>
      </c>
      <c r="C8" s="389" t="s">
        <v>627</v>
      </c>
      <c r="D8" s="390">
        <v>162584.53000000003</v>
      </c>
      <c r="E8" s="390">
        <v>3468.869999999999</v>
      </c>
      <c r="F8" s="391">
        <v>15841.432725000002</v>
      </c>
      <c r="G8" s="392">
        <f t="shared" si="0"/>
        <v>50.401204300000011</v>
      </c>
      <c r="H8" s="392">
        <f t="shared" si="1"/>
        <v>22.981263749999993</v>
      </c>
      <c r="I8" s="392">
        <f t="shared" si="2"/>
        <v>73.38246805</v>
      </c>
      <c r="J8" s="391">
        <v>90000</v>
      </c>
      <c r="K8" s="391">
        <f t="shared" si="3"/>
        <v>128302.64114627887</v>
      </c>
      <c r="M8" s="393" t="s">
        <v>628</v>
      </c>
      <c r="N8" s="398">
        <f>1333207/935200-1</f>
        <v>0.42558490162532081</v>
      </c>
      <c r="O8" s="395"/>
    </row>
    <row r="9" spans="1:15">
      <c r="A9" s="389" t="s">
        <v>629</v>
      </c>
      <c r="B9" s="390">
        <v>40144</v>
      </c>
      <c r="C9" s="389" t="s">
        <v>630</v>
      </c>
      <c r="D9" s="390">
        <v>15241.310000000056</v>
      </c>
      <c r="E9" s="390">
        <v>3208.04</v>
      </c>
      <c r="F9" s="391">
        <v>3503.0360750000045</v>
      </c>
      <c r="G9" s="392">
        <f t="shared" si="0"/>
        <v>4.7248061000000172</v>
      </c>
      <c r="H9" s="392">
        <f t="shared" si="1"/>
        <v>21.253264999999999</v>
      </c>
      <c r="I9" s="392">
        <f t="shared" si="2"/>
        <v>25.978071100000015</v>
      </c>
      <c r="J9" s="391">
        <v>22000</v>
      </c>
      <c r="K9" s="391">
        <f t="shared" si="3"/>
        <v>31362.867835757057</v>
      </c>
    </row>
    <row r="10" spans="1:15">
      <c r="A10" s="389" t="s">
        <v>631</v>
      </c>
      <c r="B10" s="390">
        <v>91168</v>
      </c>
      <c r="C10" s="389" t="s">
        <v>632</v>
      </c>
      <c r="D10" s="390">
        <v>48098.710000000079</v>
      </c>
      <c r="E10" s="390">
        <v>21683.309999999998</v>
      </c>
      <c r="F10" s="391">
        <v>19146.460575000005</v>
      </c>
      <c r="G10" s="392">
        <f>D10*$N$4</f>
        <v>14.910600100000025</v>
      </c>
      <c r="H10" s="392">
        <f>E10*$N$5/$N$6</f>
        <v>143.65192874999997</v>
      </c>
      <c r="I10" s="392">
        <f>G10+H10</f>
        <v>158.56252884999998</v>
      </c>
      <c r="J10" s="391">
        <v>89600.000000000015</v>
      </c>
      <c r="K10" s="391">
        <f>J10*($N$8+1)</f>
        <v>127732.40718562876</v>
      </c>
    </row>
    <row r="11" spans="1:15">
      <c r="A11" s="389" t="s">
        <v>631</v>
      </c>
      <c r="B11" s="390"/>
      <c r="C11" s="389" t="s">
        <v>633</v>
      </c>
      <c r="D11" s="390">
        <v>35460</v>
      </c>
      <c r="E11" s="390">
        <v>1038</v>
      </c>
      <c r="F11" s="391">
        <v>3652.05</v>
      </c>
      <c r="G11" s="392">
        <f t="shared" si="0"/>
        <v>10.992599999999999</v>
      </c>
      <c r="H11" s="392">
        <f t="shared" si="1"/>
        <v>6.8767500000000004</v>
      </c>
      <c r="I11" s="392">
        <f t="shared" si="2"/>
        <v>17.869350000000001</v>
      </c>
      <c r="J11" s="391">
        <v>267680</v>
      </c>
      <c r="K11" s="391">
        <f t="shared" si="3"/>
        <v>381600.56646706589</v>
      </c>
    </row>
    <row r="12" spans="1:15">
      <c r="A12" s="399" t="s">
        <v>87</v>
      </c>
      <c r="B12" s="400">
        <f t="shared" ref="B12:K12" si="4">SUBTOTAL(109,B2:B11)</f>
        <v>773932</v>
      </c>
      <c r="C12" s="401"/>
      <c r="D12" s="400">
        <f t="shared" si="4"/>
        <v>678937.40000000095</v>
      </c>
      <c r="E12" s="400">
        <f t="shared" si="4"/>
        <v>163334.30000000002</v>
      </c>
      <c r="F12" s="402">
        <f t="shared" si="4"/>
        <v>170346.34550000005</v>
      </c>
      <c r="G12" s="403">
        <f t="shared" si="4"/>
        <v>210.47059400000032</v>
      </c>
      <c r="H12" s="403">
        <f t="shared" si="4"/>
        <v>1082.0897375</v>
      </c>
      <c r="I12" s="403">
        <f t="shared" si="4"/>
        <v>1292.5603315000003</v>
      </c>
      <c r="J12" s="402">
        <f t="shared" si="4"/>
        <v>3877381</v>
      </c>
      <c r="K12" s="527">
        <f t="shared" si="4"/>
        <v>4862172.0000000009</v>
      </c>
    </row>
    <row r="14" spans="1:15">
      <c r="A14" s="404" t="s">
        <v>634</v>
      </c>
      <c r="B14" s="404"/>
    </row>
    <row r="15" spans="1:15">
      <c r="A15" t="s">
        <v>635</v>
      </c>
    </row>
    <row r="16" spans="1:15">
      <c r="A16" t="s">
        <v>636</v>
      </c>
      <c r="J16" s="212"/>
    </row>
    <row r="17" spans="1:11">
      <c r="A17" t="s">
        <v>637</v>
      </c>
      <c r="K17" s="405"/>
    </row>
    <row r="18" spans="1:11">
      <c r="A18" t="s">
        <v>638</v>
      </c>
    </row>
    <row r="19" spans="1:11">
      <c r="A19" t="s">
        <v>639</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2:F12"/>
  <sheetViews>
    <sheetView workbookViewId="0">
      <selection activeCell="H20" sqref="H20"/>
    </sheetView>
  </sheetViews>
  <sheetFormatPr defaultRowHeight="15"/>
  <cols>
    <col min="3" max="6" width="20.7109375" customWidth="1"/>
  </cols>
  <sheetData>
    <row r="2" spans="3:6">
      <c r="C2" s="271" t="s">
        <v>640</v>
      </c>
    </row>
    <row r="3" spans="3:6">
      <c r="C3" s="269" t="s">
        <v>641</v>
      </c>
    </row>
    <row r="4" spans="3:6">
      <c r="C4" s="271" t="s">
        <v>21</v>
      </c>
    </row>
    <row r="5" spans="3:6">
      <c r="C5" s="271" t="s">
        <v>642</v>
      </c>
    </row>
    <row r="6" spans="3:6">
      <c r="C6" s="272" t="s">
        <v>21</v>
      </c>
    </row>
    <row r="7" spans="3:6" ht="45">
      <c r="C7" s="280" t="s">
        <v>643</v>
      </c>
      <c r="D7" s="280" t="s">
        <v>644</v>
      </c>
      <c r="E7" s="280" t="s">
        <v>645</v>
      </c>
      <c r="F7" s="280" t="s">
        <v>646</v>
      </c>
    </row>
    <row r="8" spans="3:6">
      <c r="C8" s="273" t="s">
        <v>647</v>
      </c>
      <c r="D8" s="273">
        <v>612</v>
      </c>
      <c r="E8" s="274">
        <v>1836</v>
      </c>
      <c r="F8" s="274">
        <v>14076</v>
      </c>
    </row>
    <row r="9" spans="3:6">
      <c r="C9" s="275"/>
      <c r="D9" s="275"/>
      <c r="E9" s="275"/>
      <c r="F9" s="276" t="s">
        <v>21</v>
      </c>
    </row>
    <row r="10" spans="3:6">
      <c r="C10" s="273" t="s">
        <v>648</v>
      </c>
      <c r="D10" s="273">
        <v>680</v>
      </c>
      <c r="E10" s="274">
        <v>2040</v>
      </c>
      <c r="F10" s="274">
        <v>15640</v>
      </c>
    </row>
    <row r="11" spans="3:6">
      <c r="C11" s="275"/>
      <c r="D11" s="276" t="s">
        <v>21</v>
      </c>
      <c r="E11" s="276" t="s">
        <v>21</v>
      </c>
      <c r="F11" s="275"/>
    </row>
    <row r="12" spans="3:6">
      <c r="C12" s="277" t="s">
        <v>649</v>
      </c>
      <c r="D12" s="278">
        <f>'WWU Calculations'!I12</f>
        <v>1292.5603315000003</v>
      </c>
      <c r="E12" s="278">
        <f>D12*4</f>
        <v>5170.2413260000012</v>
      </c>
      <c r="F12" s="279">
        <f>D12*24</f>
        <v>31021.447956000007</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A15"/>
  <sheetViews>
    <sheetView workbookViewId="0">
      <selection activeCell="A18" sqref="A18"/>
    </sheetView>
  </sheetViews>
  <sheetFormatPr defaultRowHeight="15"/>
  <cols>
    <col min="1" max="1" width="184.42578125" customWidth="1"/>
    <col min="2" max="2" width="31.140625" customWidth="1"/>
    <col min="3" max="3" width="20" customWidth="1"/>
    <col min="4" max="4" width="19.7109375" customWidth="1"/>
    <col min="5" max="5" width="10.7109375" customWidth="1"/>
  </cols>
  <sheetData>
    <row r="1" spans="1:1">
      <c r="A1" s="262" t="s">
        <v>0</v>
      </c>
    </row>
    <row r="2" spans="1:1" ht="45">
      <c r="A2" s="4" t="s">
        <v>650</v>
      </c>
    </row>
    <row r="3" spans="1:1">
      <c r="A3" s="261"/>
    </row>
    <row r="4" spans="1:1">
      <c r="A4" s="261"/>
    </row>
    <row r="5" spans="1:1">
      <c r="A5" s="261"/>
    </row>
    <row r="6" spans="1:1">
      <c r="A6" s="261"/>
    </row>
    <row r="7" spans="1:1">
      <c r="A7" s="261"/>
    </row>
    <row r="8" spans="1:1">
      <c r="A8" s="261"/>
    </row>
    <row r="9" spans="1:1">
      <c r="A9" s="261"/>
    </row>
    <row r="10" spans="1:1">
      <c r="A10" s="261"/>
    </row>
    <row r="11" spans="1:1">
      <c r="A11" s="261"/>
    </row>
    <row r="12" spans="1:1">
      <c r="A12" s="261"/>
    </row>
    <row r="13" spans="1:1">
      <c r="A13" s="263" t="s">
        <v>6</v>
      </c>
    </row>
    <row r="14" spans="1:1">
      <c r="A14" t="s">
        <v>651</v>
      </c>
    </row>
    <row r="15" spans="1:1">
      <c r="A15" t="s">
        <v>652</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K78"/>
  <sheetViews>
    <sheetView topLeftCell="A50" workbookViewId="0">
      <selection activeCell="B78" sqref="B78"/>
    </sheetView>
  </sheetViews>
  <sheetFormatPr defaultRowHeight="15"/>
  <cols>
    <col min="1" max="1" width="48.140625" customWidth="1"/>
    <col min="2" max="2" width="26.42578125" customWidth="1"/>
    <col min="3" max="3" width="23.7109375" customWidth="1"/>
    <col min="4" max="4" width="22.7109375" customWidth="1"/>
    <col min="5" max="5" width="28.85546875" customWidth="1"/>
  </cols>
  <sheetData>
    <row r="1" spans="1:11">
      <c r="A1" s="328"/>
      <c r="B1" s="329"/>
      <c r="C1" s="329"/>
      <c r="D1" s="329"/>
      <c r="E1" s="329"/>
      <c r="F1" s="329"/>
      <c r="G1" s="329"/>
      <c r="H1" s="329"/>
      <c r="I1" s="329"/>
      <c r="J1" s="329"/>
      <c r="K1" s="330"/>
    </row>
    <row r="2" spans="1:11">
      <c r="A2" s="331">
        <v>45366</v>
      </c>
      <c r="B2" s="332"/>
      <c r="C2" s="332"/>
      <c r="D2" s="332"/>
      <c r="E2" s="332"/>
      <c r="F2" s="332"/>
      <c r="G2" s="332"/>
      <c r="H2" s="332"/>
      <c r="I2" s="332"/>
      <c r="J2" s="332"/>
      <c r="K2" s="333"/>
    </row>
    <row r="3" spans="1:11">
      <c r="A3" s="334"/>
      <c r="B3" s="335"/>
      <c r="C3" s="335"/>
      <c r="D3" s="335"/>
      <c r="E3" s="332"/>
      <c r="F3" s="332"/>
      <c r="G3" s="332"/>
      <c r="H3" s="332"/>
      <c r="I3" s="332"/>
      <c r="J3" s="332"/>
      <c r="K3" s="333"/>
    </row>
    <row r="4" spans="1:11">
      <c r="A4" s="336" t="s">
        <v>653</v>
      </c>
      <c r="B4" s="337" t="s">
        <v>654</v>
      </c>
      <c r="C4" s="337" t="s">
        <v>655</v>
      </c>
      <c r="D4" s="337" t="s">
        <v>656</v>
      </c>
      <c r="E4" s="332"/>
      <c r="F4" s="332"/>
      <c r="G4" s="332"/>
      <c r="H4" s="332"/>
      <c r="I4" s="332"/>
      <c r="J4" s="332"/>
      <c r="K4" s="333"/>
    </row>
    <row r="5" spans="1:11">
      <c r="A5" s="338" t="s">
        <v>657</v>
      </c>
      <c r="B5" s="332" t="s">
        <v>658</v>
      </c>
      <c r="C5" s="339">
        <v>5</v>
      </c>
      <c r="D5" s="339" t="s">
        <v>659</v>
      </c>
      <c r="E5" s="332"/>
      <c r="F5" s="332"/>
      <c r="G5" s="332"/>
      <c r="H5" s="332"/>
      <c r="I5" s="332"/>
      <c r="J5" s="332"/>
      <c r="K5" s="333"/>
    </row>
    <row r="6" spans="1:11">
      <c r="A6" s="338" t="s">
        <v>660</v>
      </c>
      <c r="B6" s="332" t="s">
        <v>661</v>
      </c>
      <c r="C6" s="339">
        <v>22.45</v>
      </c>
      <c r="D6" s="339" t="s">
        <v>662</v>
      </c>
      <c r="E6" s="332"/>
      <c r="F6" s="332"/>
      <c r="G6" s="332"/>
      <c r="H6" s="332"/>
      <c r="I6" s="332"/>
      <c r="J6" s="332"/>
      <c r="K6" s="333"/>
    </row>
    <row r="7" spans="1:11">
      <c r="A7" s="338" t="s">
        <v>663</v>
      </c>
      <c r="B7" s="332" t="s">
        <v>664</v>
      </c>
      <c r="C7" s="339">
        <v>10</v>
      </c>
      <c r="D7" s="339" t="s">
        <v>659</v>
      </c>
      <c r="E7" s="332"/>
      <c r="F7" s="332"/>
      <c r="G7" s="332"/>
      <c r="H7" s="332"/>
      <c r="I7" s="332"/>
      <c r="J7" s="332"/>
      <c r="K7" s="333"/>
    </row>
    <row r="8" spans="1:11">
      <c r="A8" s="338" t="s">
        <v>665</v>
      </c>
      <c r="B8" s="332" t="s">
        <v>666</v>
      </c>
      <c r="C8" s="340">
        <v>0.5</v>
      </c>
      <c r="D8" s="339" t="s">
        <v>659</v>
      </c>
      <c r="E8" s="332"/>
      <c r="F8" s="332"/>
      <c r="G8" s="332"/>
      <c r="H8" s="332"/>
      <c r="I8" s="332"/>
      <c r="J8" s="332"/>
      <c r="K8" s="333"/>
    </row>
    <row r="9" spans="1:11">
      <c r="A9" s="338" t="s">
        <v>667</v>
      </c>
      <c r="B9" s="332" t="s">
        <v>668</v>
      </c>
      <c r="C9" s="339">
        <v>638.5</v>
      </c>
      <c r="D9" s="339" t="s">
        <v>669</v>
      </c>
      <c r="E9" s="332"/>
      <c r="F9" s="332"/>
      <c r="G9" s="332"/>
      <c r="H9" s="332"/>
      <c r="I9" s="332"/>
      <c r="J9" s="332"/>
      <c r="K9" s="333"/>
    </row>
    <row r="10" spans="1:11">
      <c r="A10" s="338" t="s">
        <v>670</v>
      </c>
      <c r="B10" s="332" t="s">
        <v>671</v>
      </c>
      <c r="C10" s="341">
        <v>116</v>
      </c>
      <c r="D10" s="339" t="s">
        <v>662</v>
      </c>
      <c r="E10" s="332"/>
      <c r="F10" s="332"/>
      <c r="G10" s="332"/>
      <c r="H10" s="332"/>
      <c r="I10" s="332"/>
      <c r="J10" s="332"/>
      <c r="K10" s="333"/>
    </row>
    <row r="11" spans="1:11">
      <c r="A11" s="338" t="s">
        <v>672</v>
      </c>
      <c r="B11" s="332" t="s">
        <v>666</v>
      </c>
      <c r="C11" s="342">
        <v>5.0000000000000001E-3</v>
      </c>
      <c r="D11" s="339" t="s">
        <v>659</v>
      </c>
      <c r="E11" s="332"/>
      <c r="F11" s="332"/>
      <c r="G11" s="332"/>
      <c r="H11" s="332"/>
      <c r="I11" s="332"/>
      <c r="J11" s="332"/>
      <c r="K11" s="333"/>
    </row>
    <row r="12" spans="1:11">
      <c r="A12" s="338" t="s">
        <v>673</v>
      </c>
      <c r="B12" s="332" t="s">
        <v>674</v>
      </c>
      <c r="C12" s="339">
        <v>4.2000000000000003E-2</v>
      </c>
      <c r="D12" s="339" t="s">
        <v>662</v>
      </c>
      <c r="E12" s="332"/>
      <c r="F12" s="332"/>
      <c r="G12" s="332"/>
      <c r="H12" s="332"/>
      <c r="I12" s="332"/>
      <c r="J12" s="332"/>
      <c r="K12" s="333"/>
    </row>
    <row r="13" spans="1:11">
      <c r="A13" s="338" t="s">
        <v>675</v>
      </c>
      <c r="B13" s="332" t="s">
        <v>666</v>
      </c>
      <c r="C13" s="343">
        <v>0.6</v>
      </c>
      <c r="D13" s="339" t="s">
        <v>659</v>
      </c>
      <c r="E13" s="332"/>
      <c r="F13" s="332"/>
      <c r="G13" s="332"/>
      <c r="H13" s="332"/>
      <c r="I13" s="332"/>
      <c r="J13" s="332"/>
      <c r="K13" s="333"/>
    </row>
    <row r="14" spans="1:11">
      <c r="A14" s="338" t="s">
        <v>676</v>
      </c>
      <c r="B14" s="332" t="s">
        <v>677</v>
      </c>
      <c r="C14" s="344">
        <v>1010</v>
      </c>
      <c r="D14" s="339" t="s">
        <v>662</v>
      </c>
      <c r="E14" s="332"/>
      <c r="F14" s="332"/>
      <c r="G14" s="332"/>
      <c r="H14" s="332"/>
      <c r="I14" s="332"/>
      <c r="J14" s="332"/>
      <c r="K14" s="333"/>
    </row>
    <row r="15" spans="1:11">
      <c r="A15" s="338" t="s">
        <v>678</v>
      </c>
      <c r="B15" s="332" t="s">
        <v>679</v>
      </c>
      <c r="C15" s="339">
        <v>28</v>
      </c>
      <c r="D15" s="339" t="s">
        <v>680</v>
      </c>
      <c r="E15" s="332"/>
      <c r="F15" s="332"/>
      <c r="G15" s="332"/>
      <c r="H15" s="332"/>
      <c r="I15" s="332"/>
      <c r="J15" s="332"/>
      <c r="K15" s="333"/>
    </row>
    <row r="16" spans="1:11">
      <c r="A16" s="338" t="s">
        <v>681</v>
      </c>
      <c r="B16" s="332" t="s">
        <v>682</v>
      </c>
      <c r="C16" s="339">
        <v>500</v>
      </c>
      <c r="D16" s="339" t="s">
        <v>659</v>
      </c>
      <c r="E16" s="332"/>
      <c r="F16" s="332"/>
      <c r="G16" s="332"/>
      <c r="H16" s="332"/>
      <c r="I16" s="332"/>
      <c r="J16" s="332"/>
      <c r="K16" s="333"/>
    </row>
    <row r="17" spans="1:11">
      <c r="A17" s="338" t="s">
        <v>683</v>
      </c>
      <c r="B17" s="332" t="s">
        <v>684</v>
      </c>
      <c r="C17" s="339">
        <v>104.37</v>
      </c>
      <c r="D17" s="339" t="s">
        <v>685</v>
      </c>
      <c r="E17" s="332"/>
      <c r="F17" s="332"/>
      <c r="G17" s="332"/>
      <c r="H17" s="332"/>
      <c r="I17" s="332"/>
      <c r="J17" s="332"/>
      <c r="K17" s="333"/>
    </row>
    <row r="18" spans="1:11">
      <c r="A18" s="338" t="s">
        <v>686</v>
      </c>
      <c r="B18" s="332" t="s">
        <v>687</v>
      </c>
      <c r="C18" s="339">
        <v>7.0000000000000007E-2</v>
      </c>
      <c r="D18" s="339" t="s">
        <v>688</v>
      </c>
      <c r="E18" s="332"/>
      <c r="F18" s="332"/>
      <c r="G18" s="332"/>
      <c r="H18" s="332"/>
      <c r="I18" s="332"/>
      <c r="J18" s="332"/>
      <c r="K18" s="333"/>
    </row>
    <row r="19" spans="1:11">
      <c r="A19" s="338" t="s">
        <v>689</v>
      </c>
      <c r="B19" s="332" t="s">
        <v>687</v>
      </c>
      <c r="C19" s="339">
        <v>0.1</v>
      </c>
      <c r="D19" s="339" t="s">
        <v>688</v>
      </c>
      <c r="E19" s="332"/>
      <c r="F19" s="332"/>
      <c r="G19" s="332"/>
      <c r="H19" s="332"/>
      <c r="I19" s="332"/>
      <c r="J19" s="332"/>
      <c r="K19" s="333"/>
    </row>
    <row r="20" spans="1:11">
      <c r="A20" s="338" t="s">
        <v>690</v>
      </c>
      <c r="B20" s="332" t="s">
        <v>687</v>
      </c>
      <c r="C20" s="339">
        <v>0.01</v>
      </c>
      <c r="D20" s="339" t="s">
        <v>688</v>
      </c>
      <c r="E20" s="332"/>
      <c r="F20" s="332"/>
      <c r="G20" s="332"/>
      <c r="H20" s="332"/>
      <c r="I20" s="332"/>
      <c r="J20" s="332"/>
      <c r="K20" s="333"/>
    </row>
    <row r="21" spans="1:11">
      <c r="A21" s="338" t="s">
        <v>691</v>
      </c>
      <c r="B21" s="332" t="s">
        <v>687</v>
      </c>
      <c r="C21" s="341">
        <v>0.11</v>
      </c>
      <c r="D21" s="339" t="s">
        <v>688</v>
      </c>
      <c r="E21" s="345"/>
      <c r="F21" s="332"/>
      <c r="G21" s="332"/>
      <c r="H21" s="332"/>
      <c r="I21" s="332"/>
      <c r="J21" s="332"/>
      <c r="K21" s="333"/>
    </row>
    <row r="22" spans="1:11">
      <c r="A22" s="338" t="s">
        <v>692</v>
      </c>
      <c r="B22" s="332" t="s">
        <v>687</v>
      </c>
      <c r="C22" s="341">
        <v>0.03</v>
      </c>
      <c r="D22" s="339" t="s">
        <v>688</v>
      </c>
      <c r="E22" s="345"/>
      <c r="F22" s="332"/>
      <c r="G22" s="332"/>
      <c r="H22" s="332"/>
      <c r="I22" s="332"/>
      <c r="J22" s="332"/>
      <c r="K22" s="333"/>
    </row>
    <row r="23" spans="1:11">
      <c r="A23" s="338" t="s">
        <v>693</v>
      </c>
      <c r="B23" s="332" t="s">
        <v>687</v>
      </c>
      <c r="C23" s="341">
        <v>0.23</v>
      </c>
      <c r="D23" s="339" t="s">
        <v>688</v>
      </c>
      <c r="E23" s="345"/>
      <c r="F23" s="332"/>
      <c r="G23" s="332"/>
      <c r="H23" s="332"/>
      <c r="I23" s="332"/>
      <c r="J23" s="332"/>
      <c r="K23" s="333"/>
    </row>
    <row r="24" spans="1:11">
      <c r="A24" s="338" t="s">
        <v>694</v>
      </c>
      <c r="B24" s="332" t="s">
        <v>666</v>
      </c>
      <c r="C24" s="346">
        <v>6.5000000000000002E-2</v>
      </c>
      <c r="D24" s="339" t="s">
        <v>695</v>
      </c>
      <c r="E24" s="345"/>
      <c r="F24" s="332"/>
      <c r="G24" s="332"/>
      <c r="H24" s="332"/>
      <c r="I24" s="332"/>
      <c r="J24" s="332"/>
      <c r="K24" s="333"/>
    </row>
    <row r="25" spans="1:11">
      <c r="A25" s="338" t="s">
        <v>696</v>
      </c>
      <c r="B25" s="332" t="s">
        <v>684</v>
      </c>
      <c r="C25" s="341">
        <v>19.32</v>
      </c>
      <c r="D25" s="339" t="s">
        <v>697</v>
      </c>
      <c r="E25" s="345"/>
      <c r="F25" s="332"/>
      <c r="G25" s="332"/>
      <c r="H25" s="332"/>
      <c r="I25" s="332"/>
      <c r="J25" s="332"/>
      <c r="K25" s="333"/>
    </row>
    <row r="26" spans="1:11">
      <c r="A26" s="338" t="s">
        <v>698</v>
      </c>
      <c r="B26" s="332" t="s">
        <v>687</v>
      </c>
      <c r="C26" s="341">
        <v>0.02</v>
      </c>
      <c r="D26" s="339" t="s">
        <v>688</v>
      </c>
      <c r="E26" s="345"/>
      <c r="F26" s="332"/>
      <c r="G26" s="332"/>
      <c r="H26" s="332"/>
      <c r="I26" s="332"/>
      <c r="J26" s="332"/>
      <c r="K26" s="333"/>
    </row>
    <row r="27" spans="1:11">
      <c r="A27" s="338" t="s">
        <v>699</v>
      </c>
      <c r="B27" s="332" t="s">
        <v>687</v>
      </c>
      <c r="C27" s="341">
        <v>0.03</v>
      </c>
      <c r="D27" s="339" t="s">
        <v>688</v>
      </c>
      <c r="E27" s="345"/>
      <c r="F27" s="332"/>
      <c r="G27" s="332"/>
      <c r="H27" s="332"/>
      <c r="I27" s="332"/>
      <c r="J27" s="332"/>
      <c r="K27" s="333"/>
    </row>
    <row r="28" spans="1:11">
      <c r="A28" s="338"/>
      <c r="B28" s="332"/>
      <c r="C28" s="332"/>
      <c r="D28" s="332"/>
      <c r="E28" s="345"/>
      <c r="F28" s="332"/>
      <c r="G28" s="332"/>
      <c r="H28" s="332"/>
      <c r="I28" s="332"/>
      <c r="J28" s="332"/>
      <c r="K28" s="333"/>
    </row>
    <row r="29" spans="1:11">
      <c r="A29" s="338" t="s">
        <v>700</v>
      </c>
      <c r="B29" s="332" t="s">
        <v>701</v>
      </c>
      <c r="C29" s="344">
        <v>3412</v>
      </c>
      <c r="D29" s="332"/>
      <c r="E29" s="332"/>
      <c r="F29" s="332"/>
      <c r="G29" s="332"/>
      <c r="H29" s="332"/>
      <c r="I29" s="332"/>
      <c r="J29" s="332"/>
      <c r="K29" s="333"/>
    </row>
    <row r="30" spans="1:11">
      <c r="A30" s="338" t="s">
        <v>700</v>
      </c>
      <c r="B30" s="332" t="s">
        <v>702</v>
      </c>
      <c r="C30" s="344">
        <v>2204</v>
      </c>
      <c r="D30" s="332"/>
      <c r="E30" s="332"/>
      <c r="F30" s="332"/>
      <c r="G30" s="332"/>
      <c r="H30" s="332"/>
      <c r="I30" s="332"/>
      <c r="J30" s="332"/>
      <c r="K30" s="333"/>
    </row>
    <row r="31" spans="1:11">
      <c r="A31" s="338" t="s">
        <v>700</v>
      </c>
      <c r="B31" s="332" t="s">
        <v>703</v>
      </c>
      <c r="C31" s="344">
        <v>1055</v>
      </c>
      <c r="D31" s="332"/>
      <c r="E31" s="332"/>
      <c r="F31" s="332"/>
      <c r="G31" s="332"/>
      <c r="H31" s="332"/>
      <c r="I31" s="332"/>
      <c r="J31" s="332"/>
      <c r="K31" s="333"/>
    </row>
    <row r="32" spans="1:11">
      <c r="A32" s="338"/>
      <c r="B32" s="332"/>
      <c r="C32" s="332"/>
      <c r="D32" s="332"/>
      <c r="E32" s="345"/>
      <c r="F32" s="332"/>
      <c r="G32" s="332"/>
      <c r="H32" s="332"/>
      <c r="I32" s="332"/>
      <c r="J32" s="332"/>
      <c r="K32" s="333"/>
    </row>
    <row r="33" spans="1:11">
      <c r="A33" s="338"/>
      <c r="B33" s="332"/>
      <c r="C33" s="347"/>
      <c r="D33" s="347" t="s">
        <v>704</v>
      </c>
      <c r="E33" s="348" t="s">
        <v>705</v>
      </c>
      <c r="F33" s="332"/>
      <c r="G33" s="332"/>
      <c r="H33" s="332"/>
      <c r="I33" s="332"/>
      <c r="J33" s="332"/>
      <c r="K33" s="333"/>
    </row>
    <row r="34" spans="1:11" ht="26.25">
      <c r="A34" s="338"/>
      <c r="B34" s="333"/>
      <c r="C34" s="349"/>
      <c r="D34" s="349" t="s">
        <v>706</v>
      </c>
      <c r="E34" s="350" t="s">
        <v>707</v>
      </c>
      <c r="F34" s="332"/>
      <c r="G34" s="332"/>
      <c r="H34" s="332"/>
      <c r="I34" s="332"/>
      <c r="J34" s="332"/>
      <c r="K34" s="333"/>
    </row>
    <row r="35" spans="1:11">
      <c r="A35" s="338" t="s">
        <v>708</v>
      </c>
      <c r="B35" s="332" t="s">
        <v>709</v>
      </c>
      <c r="C35" s="339"/>
      <c r="D35" s="339">
        <v>185</v>
      </c>
      <c r="E35" s="339">
        <v>500</v>
      </c>
      <c r="F35" s="332"/>
      <c r="G35" s="332"/>
      <c r="H35" s="332"/>
      <c r="I35" s="332"/>
      <c r="J35" s="332"/>
      <c r="K35" s="333"/>
    </row>
    <row r="36" spans="1:11">
      <c r="A36" s="338" t="s">
        <v>710</v>
      </c>
      <c r="B36" s="332" t="s">
        <v>711</v>
      </c>
      <c r="C36" s="339"/>
      <c r="D36" s="339">
        <v>70</v>
      </c>
      <c r="E36" s="339">
        <v>37</v>
      </c>
      <c r="F36" s="332"/>
      <c r="G36" s="332"/>
      <c r="H36" s="332"/>
      <c r="I36" s="332"/>
      <c r="J36" s="332"/>
      <c r="K36" s="333"/>
    </row>
    <row r="37" spans="1:11">
      <c r="A37" s="338" t="s">
        <v>712</v>
      </c>
      <c r="B37" s="332" t="s">
        <v>713</v>
      </c>
      <c r="C37" s="332"/>
      <c r="D37" s="332">
        <v>577</v>
      </c>
      <c r="E37" s="351">
        <v>1560</v>
      </c>
      <c r="F37" s="332"/>
      <c r="G37" s="332"/>
      <c r="H37" s="332"/>
      <c r="I37" s="332"/>
      <c r="J37" s="332"/>
      <c r="K37" s="333"/>
    </row>
    <row r="38" spans="1:11">
      <c r="A38" s="338" t="s">
        <v>712</v>
      </c>
      <c r="B38" s="332" t="s">
        <v>714</v>
      </c>
      <c r="C38" s="351"/>
      <c r="D38" s="351">
        <v>608946</v>
      </c>
      <c r="E38" s="351">
        <v>1645800</v>
      </c>
      <c r="F38" s="332"/>
      <c r="G38" s="332"/>
      <c r="H38" s="332"/>
      <c r="I38" s="332"/>
      <c r="J38" s="332"/>
      <c r="K38" s="333"/>
    </row>
    <row r="39" spans="1:11">
      <c r="A39" s="338" t="s">
        <v>712</v>
      </c>
      <c r="B39" s="332" t="s">
        <v>715</v>
      </c>
      <c r="C39" s="351"/>
      <c r="D39" s="351">
        <v>952475</v>
      </c>
      <c r="E39" s="351">
        <v>2574257</v>
      </c>
      <c r="F39" s="332"/>
      <c r="G39" s="332"/>
      <c r="H39" s="332"/>
      <c r="I39" s="332"/>
      <c r="J39" s="332"/>
      <c r="K39" s="333"/>
    </row>
    <row r="40" spans="1:11">
      <c r="A40" s="338" t="s">
        <v>716</v>
      </c>
      <c r="B40" s="332" t="s">
        <v>666</v>
      </c>
      <c r="C40" s="340"/>
      <c r="D40" s="340">
        <v>0.3</v>
      </c>
      <c r="E40" s="340">
        <v>0.32</v>
      </c>
      <c r="F40" s="332"/>
      <c r="G40" s="332"/>
      <c r="H40" s="332"/>
      <c r="I40" s="332"/>
      <c r="J40" s="332"/>
      <c r="K40" s="333"/>
    </row>
    <row r="41" spans="1:11">
      <c r="A41" s="338" t="s">
        <v>717</v>
      </c>
      <c r="B41" s="332" t="s">
        <v>666</v>
      </c>
      <c r="C41" s="340"/>
      <c r="D41" s="340">
        <v>0.45</v>
      </c>
      <c r="E41" s="340">
        <v>0.45</v>
      </c>
      <c r="F41" s="332"/>
      <c r="G41" s="332"/>
      <c r="H41" s="332"/>
      <c r="I41" s="332"/>
      <c r="J41" s="332"/>
      <c r="K41" s="333"/>
    </row>
    <row r="42" spans="1:11">
      <c r="A42" s="338" t="s">
        <v>718</v>
      </c>
      <c r="B42" s="332" t="s">
        <v>719</v>
      </c>
      <c r="C42" s="332"/>
      <c r="D42" s="351">
        <v>50750</v>
      </c>
      <c r="E42" s="351">
        <v>146307</v>
      </c>
      <c r="F42" s="332"/>
      <c r="G42" s="332"/>
      <c r="H42" s="332"/>
      <c r="I42" s="332"/>
      <c r="J42" s="332"/>
      <c r="K42" s="333"/>
    </row>
    <row r="43" spans="1:11">
      <c r="A43" s="338" t="s">
        <v>720</v>
      </c>
      <c r="B43" s="332" t="s">
        <v>713</v>
      </c>
      <c r="C43" s="332"/>
      <c r="D43" s="332">
        <v>260</v>
      </c>
      <c r="E43" s="332">
        <v>702</v>
      </c>
      <c r="F43" s="332"/>
      <c r="G43" s="332"/>
      <c r="H43" s="332"/>
      <c r="I43" s="332"/>
      <c r="J43" s="332"/>
      <c r="K43" s="333"/>
    </row>
    <row r="44" spans="1:11">
      <c r="A44" s="338" t="s">
        <v>721</v>
      </c>
      <c r="B44" s="332" t="s">
        <v>722</v>
      </c>
      <c r="C44" s="351"/>
      <c r="D44" s="351">
        <v>41625</v>
      </c>
      <c r="E44" s="351">
        <v>112500</v>
      </c>
      <c r="F44" s="332"/>
      <c r="G44" s="332"/>
      <c r="H44" s="332"/>
      <c r="I44" s="332"/>
      <c r="J44" s="332"/>
      <c r="K44" s="333"/>
    </row>
    <row r="45" spans="1:11">
      <c r="A45" s="338" t="s">
        <v>723</v>
      </c>
      <c r="B45" s="332" t="s">
        <v>724</v>
      </c>
      <c r="C45" s="339"/>
      <c r="D45" s="339">
        <v>40.200000000000003</v>
      </c>
      <c r="E45" s="339">
        <v>239</v>
      </c>
      <c r="F45" s="332"/>
      <c r="G45" s="332"/>
      <c r="H45" s="332"/>
      <c r="I45" s="332"/>
      <c r="J45" s="332"/>
      <c r="K45" s="333"/>
    </row>
    <row r="46" spans="1:11">
      <c r="A46" s="338" t="s">
        <v>725</v>
      </c>
      <c r="B46" s="332" t="s">
        <v>724</v>
      </c>
      <c r="C46" s="339"/>
      <c r="D46" s="339">
        <v>0</v>
      </c>
      <c r="E46" s="339">
        <v>0</v>
      </c>
      <c r="F46" s="332"/>
      <c r="G46" s="332"/>
      <c r="H46" s="332"/>
      <c r="I46" s="332"/>
      <c r="J46" s="332"/>
      <c r="K46" s="333"/>
    </row>
    <row r="47" spans="1:11">
      <c r="A47" s="338" t="s">
        <v>726</v>
      </c>
      <c r="B47" s="332" t="s">
        <v>666</v>
      </c>
      <c r="C47" s="340"/>
      <c r="D47" s="340">
        <v>1</v>
      </c>
      <c r="E47" s="340">
        <v>1</v>
      </c>
      <c r="F47" s="332"/>
      <c r="G47" s="332"/>
      <c r="H47" s="332"/>
      <c r="I47" s="332"/>
      <c r="J47" s="332"/>
      <c r="K47" s="333"/>
    </row>
    <row r="48" spans="1:11">
      <c r="A48" s="338" t="s">
        <v>727</v>
      </c>
      <c r="B48" s="332" t="s">
        <v>666</v>
      </c>
      <c r="C48" s="340"/>
      <c r="D48" s="340">
        <v>0</v>
      </c>
      <c r="E48" s="340">
        <v>0</v>
      </c>
      <c r="F48" s="332"/>
      <c r="G48" s="332"/>
      <c r="H48" s="332"/>
      <c r="I48" s="332"/>
      <c r="J48" s="332"/>
      <c r="K48" s="333"/>
    </row>
    <row r="49" spans="1:11">
      <c r="A49" s="338" t="s">
        <v>728</v>
      </c>
      <c r="B49" s="332" t="s">
        <v>724</v>
      </c>
      <c r="C49" s="339"/>
      <c r="D49" s="339">
        <v>0</v>
      </c>
      <c r="E49" s="339">
        <v>3</v>
      </c>
      <c r="F49" s="332"/>
      <c r="G49" s="332"/>
      <c r="H49" s="332"/>
      <c r="I49" s="332"/>
      <c r="J49" s="332"/>
      <c r="K49" s="333"/>
    </row>
    <row r="50" spans="1:11">
      <c r="A50" s="338"/>
      <c r="B50" s="332"/>
      <c r="C50" s="332"/>
      <c r="D50" s="332"/>
      <c r="E50" s="332"/>
      <c r="F50" s="332"/>
      <c r="G50" s="332"/>
      <c r="H50" s="332"/>
      <c r="I50" s="332"/>
      <c r="J50" s="332"/>
      <c r="K50" s="333"/>
    </row>
    <row r="51" spans="1:11">
      <c r="A51" s="334"/>
      <c r="B51" s="335"/>
      <c r="C51" s="335"/>
      <c r="D51" s="335"/>
      <c r="E51" s="335"/>
      <c r="F51" s="332"/>
      <c r="G51" s="332"/>
      <c r="H51" s="332"/>
      <c r="I51" s="332"/>
      <c r="J51" s="332"/>
      <c r="K51" s="333"/>
    </row>
    <row r="52" spans="1:11">
      <c r="A52" s="352" t="s">
        <v>729</v>
      </c>
      <c r="B52" s="332"/>
      <c r="C52" s="332"/>
      <c r="D52" s="332"/>
      <c r="E52" s="333"/>
      <c r="F52" s="332"/>
      <c r="G52" s="332"/>
      <c r="H52" s="332"/>
      <c r="I52" s="332"/>
      <c r="J52" s="332"/>
      <c r="K52" s="333"/>
    </row>
    <row r="53" spans="1:11">
      <c r="A53" s="338" t="s">
        <v>730</v>
      </c>
      <c r="B53" s="332" t="s">
        <v>687</v>
      </c>
      <c r="C53" s="332"/>
      <c r="D53" s="332">
        <v>0.03</v>
      </c>
      <c r="E53" s="333">
        <v>0.19</v>
      </c>
      <c r="F53" s="332"/>
      <c r="G53" s="332"/>
      <c r="H53" s="332"/>
      <c r="I53" s="332"/>
      <c r="J53" s="332"/>
      <c r="K53" s="333"/>
    </row>
    <row r="54" spans="1:11">
      <c r="A54" s="338" t="s">
        <v>731</v>
      </c>
      <c r="B54" s="332" t="s">
        <v>687</v>
      </c>
      <c r="C54" s="332"/>
      <c r="D54" s="332">
        <v>0.34</v>
      </c>
      <c r="E54" s="333">
        <v>0.34</v>
      </c>
      <c r="F54" s="332"/>
      <c r="G54" s="332"/>
      <c r="H54" s="332"/>
      <c r="I54" s="332"/>
      <c r="J54" s="332"/>
      <c r="K54" s="333"/>
    </row>
    <row r="55" spans="1:11">
      <c r="A55" s="338" t="s">
        <v>732</v>
      </c>
      <c r="B55" s="332" t="s">
        <v>687</v>
      </c>
      <c r="C55" s="332"/>
      <c r="D55" s="332">
        <v>-7.0000000000000007E-2</v>
      </c>
      <c r="E55" s="333">
        <v>-7.0000000000000007E-2</v>
      </c>
      <c r="F55" s="332"/>
      <c r="G55" s="332"/>
      <c r="H55" s="332"/>
      <c r="I55" s="332"/>
      <c r="J55" s="332"/>
      <c r="K55" s="333"/>
    </row>
    <row r="56" spans="1:11">
      <c r="A56" s="334" t="s">
        <v>689</v>
      </c>
      <c r="B56" s="335" t="s">
        <v>687</v>
      </c>
      <c r="C56" s="335"/>
      <c r="D56" s="335">
        <v>-0.1</v>
      </c>
      <c r="E56" s="353">
        <v>-0.1</v>
      </c>
      <c r="F56" s="332"/>
      <c r="G56" s="332"/>
      <c r="H56" s="332"/>
      <c r="I56" s="332"/>
      <c r="J56" s="332"/>
      <c r="K56" s="333"/>
    </row>
    <row r="57" spans="1:11">
      <c r="A57" s="338" t="s">
        <v>733</v>
      </c>
      <c r="B57" s="332"/>
      <c r="C57" s="332"/>
      <c r="D57" s="332">
        <v>0.21</v>
      </c>
      <c r="E57" s="333">
        <v>0.37</v>
      </c>
      <c r="F57" s="332"/>
      <c r="G57" s="332"/>
      <c r="H57" s="332"/>
      <c r="I57" s="332"/>
      <c r="J57" s="332"/>
      <c r="K57" s="333"/>
    </row>
    <row r="58" spans="1:11">
      <c r="A58" s="338"/>
      <c r="B58" s="332"/>
      <c r="C58" s="332"/>
      <c r="D58" s="332"/>
      <c r="E58" s="333"/>
      <c r="F58" s="332"/>
      <c r="G58" s="332"/>
      <c r="H58" s="332"/>
      <c r="I58" s="332"/>
      <c r="J58" s="332"/>
      <c r="K58" s="333"/>
    </row>
    <row r="59" spans="1:11">
      <c r="A59" s="354" t="s">
        <v>734</v>
      </c>
      <c r="B59" s="332"/>
      <c r="C59" s="332"/>
      <c r="D59" s="332"/>
      <c r="E59" s="333"/>
      <c r="F59" s="332"/>
      <c r="G59" s="332"/>
      <c r="H59" s="332"/>
      <c r="I59" s="332"/>
      <c r="J59" s="332"/>
      <c r="K59" s="333"/>
    </row>
    <row r="60" spans="1:11">
      <c r="A60" s="338" t="s">
        <v>735</v>
      </c>
      <c r="B60" s="332" t="s">
        <v>687</v>
      </c>
      <c r="C60" s="332"/>
      <c r="D60" s="332">
        <v>0.02</v>
      </c>
      <c r="E60" s="333">
        <v>0.01</v>
      </c>
      <c r="F60" s="332"/>
      <c r="G60" s="332"/>
      <c r="H60" s="332"/>
      <c r="I60" s="332"/>
      <c r="J60" s="332"/>
      <c r="K60" s="333"/>
    </row>
    <row r="61" spans="1:11">
      <c r="A61" s="338" t="s">
        <v>736</v>
      </c>
      <c r="B61" s="332" t="s">
        <v>687</v>
      </c>
      <c r="C61" s="332"/>
      <c r="D61" s="332">
        <v>0.01</v>
      </c>
      <c r="E61" s="333">
        <v>0.01</v>
      </c>
      <c r="F61" s="332"/>
      <c r="G61" s="332"/>
      <c r="H61" s="332"/>
      <c r="I61" s="332"/>
      <c r="J61" s="332"/>
      <c r="K61" s="333"/>
    </row>
    <row r="62" spans="1:11">
      <c r="A62" s="338" t="s">
        <v>737</v>
      </c>
      <c r="B62" s="332" t="s">
        <v>687</v>
      </c>
      <c r="C62" s="332"/>
      <c r="D62" s="332">
        <v>-0.08</v>
      </c>
      <c r="E62" s="333">
        <v>-0.08</v>
      </c>
      <c r="F62" s="332"/>
      <c r="G62" s="332"/>
      <c r="H62" s="332"/>
      <c r="I62" s="332"/>
      <c r="J62" s="332"/>
      <c r="K62" s="333"/>
    </row>
    <row r="63" spans="1:11">
      <c r="A63" s="338" t="s">
        <v>738</v>
      </c>
      <c r="B63" s="332" t="s">
        <v>687</v>
      </c>
      <c r="C63" s="332"/>
      <c r="D63" s="332">
        <v>-7.0000000000000007E-2</v>
      </c>
      <c r="E63" s="333">
        <v>-7.0000000000000007E-2</v>
      </c>
      <c r="F63" s="332"/>
      <c r="G63" s="332"/>
      <c r="H63" s="332"/>
      <c r="I63" s="332"/>
      <c r="J63" s="332"/>
      <c r="K63" s="333"/>
    </row>
    <row r="64" spans="1:11">
      <c r="A64" s="338" t="s">
        <v>739</v>
      </c>
      <c r="B64" s="332" t="s">
        <v>687</v>
      </c>
      <c r="C64" s="332"/>
      <c r="D64" s="332">
        <v>-0.01</v>
      </c>
      <c r="E64" s="333">
        <v>-0.01</v>
      </c>
      <c r="F64" s="332"/>
      <c r="G64" s="332"/>
      <c r="H64" s="332"/>
      <c r="I64" s="332"/>
      <c r="J64" s="332"/>
      <c r="K64" s="333"/>
    </row>
    <row r="65" spans="1:11">
      <c r="A65" s="338" t="s">
        <v>740</v>
      </c>
      <c r="B65" s="332" t="s">
        <v>687</v>
      </c>
      <c r="C65" s="332"/>
      <c r="D65" s="332">
        <v>-0.06</v>
      </c>
      <c r="E65" s="333">
        <v>-0.06</v>
      </c>
      <c r="F65" s="332"/>
      <c r="G65" s="332"/>
      <c r="H65" s="332"/>
      <c r="I65" s="332"/>
      <c r="J65" s="332"/>
      <c r="K65" s="333"/>
    </row>
    <row r="66" spans="1:11">
      <c r="A66" s="338" t="s">
        <v>741</v>
      </c>
      <c r="B66" s="332" t="s">
        <v>687</v>
      </c>
      <c r="C66" s="332"/>
      <c r="D66" s="332">
        <v>-0.02</v>
      </c>
      <c r="E66" s="333">
        <v>-0.02</v>
      </c>
      <c r="F66" s="332"/>
      <c r="G66" s="332"/>
      <c r="H66" s="332"/>
      <c r="I66" s="332"/>
      <c r="J66" s="332"/>
      <c r="K66" s="333"/>
    </row>
    <row r="67" spans="1:11">
      <c r="A67" s="338" t="s">
        <v>742</v>
      </c>
      <c r="B67" s="332" t="s">
        <v>687</v>
      </c>
      <c r="C67" s="332"/>
      <c r="D67" s="332">
        <v>-0.03</v>
      </c>
      <c r="E67" s="333">
        <v>-0.03</v>
      </c>
      <c r="F67" s="332"/>
      <c r="G67" s="332"/>
      <c r="H67" s="332"/>
      <c r="I67" s="332"/>
      <c r="J67" s="332"/>
      <c r="K67" s="333"/>
    </row>
    <row r="68" spans="1:11">
      <c r="A68" s="338" t="s">
        <v>743</v>
      </c>
      <c r="B68" s="332" t="s">
        <v>687</v>
      </c>
      <c r="C68" s="332"/>
      <c r="D68" s="332">
        <v>0</v>
      </c>
      <c r="E68" s="333">
        <v>0</v>
      </c>
      <c r="F68" s="332"/>
      <c r="G68" s="332"/>
      <c r="H68" s="332"/>
      <c r="I68" s="332"/>
      <c r="J68" s="332"/>
      <c r="K68" s="333"/>
    </row>
    <row r="69" spans="1:11">
      <c r="A69" s="334" t="s">
        <v>744</v>
      </c>
      <c r="B69" s="335" t="s">
        <v>687</v>
      </c>
      <c r="C69" s="335"/>
      <c r="D69" s="335">
        <v>0</v>
      </c>
      <c r="E69" s="353">
        <v>0.01</v>
      </c>
      <c r="F69" s="332"/>
      <c r="G69" s="332"/>
      <c r="H69" s="332"/>
      <c r="I69" s="332"/>
      <c r="J69" s="332"/>
      <c r="K69" s="333"/>
    </row>
    <row r="70" spans="1:11">
      <c r="A70" s="338" t="s">
        <v>745</v>
      </c>
      <c r="B70" s="332"/>
      <c r="C70" s="332"/>
      <c r="D70" s="332">
        <v>-0.24</v>
      </c>
      <c r="E70" s="333">
        <v>-0.26</v>
      </c>
      <c r="F70" s="332"/>
      <c r="G70" s="332"/>
      <c r="H70" s="332"/>
      <c r="I70" s="332"/>
      <c r="J70" s="332"/>
      <c r="K70" s="333"/>
    </row>
    <row r="71" spans="1:11">
      <c r="A71" s="334"/>
      <c r="B71" s="335"/>
      <c r="C71" s="335"/>
      <c r="D71" s="335"/>
      <c r="E71" s="353"/>
      <c r="F71" s="332"/>
      <c r="G71" s="332"/>
      <c r="H71" s="332"/>
      <c r="I71" s="332"/>
      <c r="J71" s="332"/>
      <c r="K71" s="333"/>
    </row>
    <row r="72" spans="1:11">
      <c r="A72" s="338" t="s">
        <v>746</v>
      </c>
      <c r="B72" s="332" t="s">
        <v>687</v>
      </c>
      <c r="C72" s="355"/>
      <c r="D72" s="355">
        <v>0.45</v>
      </c>
      <c r="E72" s="356">
        <v>0.63</v>
      </c>
      <c r="F72" s="332"/>
      <c r="G72" s="332"/>
      <c r="H72" s="332"/>
      <c r="I72" s="332"/>
      <c r="J72" s="332"/>
      <c r="K72" s="333"/>
    </row>
    <row r="73" spans="1:11">
      <c r="A73" s="334"/>
      <c r="B73" s="335" t="s">
        <v>747</v>
      </c>
      <c r="C73" s="357"/>
      <c r="D73" s="358">
        <f>D72*185</f>
        <v>83.25</v>
      </c>
      <c r="E73" s="337">
        <f>E72*500</f>
        <v>315</v>
      </c>
      <c r="F73" s="332"/>
      <c r="G73" s="332"/>
      <c r="H73" s="332"/>
      <c r="I73" s="332"/>
      <c r="J73" s="332"/>
      <c r="K73" s="333"/>
    </row>
    <row r="74" spans="1:11">
      <c r="A74" s="338"/>
      <c r="B74" s="332"/>
      <c r="C74" s="332"/>
      <c r="D74" s="355" t="s">
        <v>748</v>
      </c>
      <c r="E74" s="526">
        <f>SUM(D73:E73)</f>
        <v>398.25</v>
      </c>
      <c r="F74" s="332"/>
      <c r="G74" s="332"/>
      <c r="H74" s="332"/>
      <c r="I74" s="332"/>
      <c r="J74" s="332"/>
      <c r="K74" s="333"/>
    </row>
    <row r="75" spans="1:11">
      <c r="A75" s="338"/>
      <c r="B75" s="332"/>
      <c r="C75" s="332"/>
      <c r="D75" s="332"/>
      <c r="E75" s="332"/>
      <c r="F75" s="332"/>
      <c r="G75" s="332"/>
      <c r="H75" s="332"/>
      <c r="I75" s="332"/>
      <c r="J75" s="332"/>
      <c r="K75" s="333"/>
    </row>
    <row r="76" spans="1:11" ht="33">
      <c r="A76" s="322" t="s">
        <v>567</v>
      </c>
      <c r="B76" s="323" t="s">
        <v>568</v>
      </c>
      <c r="C76" s="323" t="s">
        <v>569</v>
      </c>
      <c r="D76" s="332"/>
      <c r="E76" s="332"/>
      <c r="F76" s="332"/>
      <c r="G76" s="332"/>
      <c r="H76" s="332"/>
      <c r="I76" s="332"/>
      <c r="J76" s="332"/>
      <c r="K76" s="333"/>
    </row>
    <row r="77" spans="1:11">
      <c r="A77" s="324" t="s">
        <v>570</v>
      </c>
      <c r="B77" s="257"/>
      <c r="C77" s="257"/>
      <c r="D77" s="332"/>
      <c r="E77" s="332"/>
      <c r="F77" s="332"/>
      <c r="G77" s="332"/>
      <c r="H77" s="332"/>
      <c r="I77" s="332"/>
      <c r="J77" s="332"/>
      <c r="K77" s="333"/>
    </row>
    <row r="78" spans="1:11">
      <c r="A78" s="325" t="s">
        <v>749</v>
      </c>
      <c r="B78" s="326">
        <f>SUM(D73,E73)*5.5</f>
        <v>2190.375</v>
      </c>
      <c r="C78" s="326">
        <f>SUM(D73:E73)*25.5</f>
        <v>10155.375</v>
      </c>
      <c r="D78" s="335"/>
      <c r="E78" s="335"/>
      <c r="F78" s="335"/>
      <c r="G78" s="335"/>
      <c r="H78" s="335"/>
      <c r="I78" s="335"/>
      <c r="J78" s="335"/>
      <c r="K78" s="353"/>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18"/>
  <sheetViews>
    <sheetView workbookViewId="0">
      <selection activeCell="I16" sqref="I16"/>
    </sheetView>
  </sheetViews>
  <sheetFormatPr defaultRowHeight="15"/>
  <cols>
    <col min="1" max="1" width="22.42578125" bestFit="1" customWidth="1"/>
    <col min="2" max="2" width="15.85546875" bestFit="1" customWidth="1"/>
    <col min="3" max="3" width="22.5703125" customWidth="1"/>
    <col min="4" max="4" width="14.140625" bestFit="1" customWidth="1"/>
    <col min="5" max="5" width="27.7109375" customWidth="1"/>
    <col min="6" max="6" width="12.85546875" customWidth="1"/>
    <col min="7" max="7" width="30" bestFit="1" customWidth="1"/>
  </cols>
  <sheetData>
    <row r="1" spans="1:15">
      <c r="A1" s="541" t="s">
        <v>57</v>
      </c>
      <c r="B1" s="542"/>
      <c r="C1" s="542"/>
      <c r="D1" s="543"/>
    </row>
    <row r="2" spans="1:15">
      <c r="A2" s="221"/>
      <c r="B2" s="222" t="s">
        <v>58</v>
      </c>
      <c r="C2" s="7"/>
      <c r="D2" s="223" t="s">
        <v>59</v>
      </c>
      <c r="E2" s="7"/>
    </row>
    <row r="3" spans="1:15">
      <c r="A3" s="221" t="s">
        <v>60</v>
      </c>
      <c r="B3" s="224">
        <v>1626.43</v>
      </c>
      <c r="C3" s="7"/>
      <c r="D3" s="225">
        <v>907184.74</v>
      </c>
      <c r="E3" s="7"/>
    </row>
    <row r="4" spans="1:15">
      <c r="A4" s="221" t="s">
        <v>61</v>
      </c>
      <c r="B4">
        <v>7.54</v>
      </c>
      <c r="C4" s="7"/>
      <c r="D4" s="225"/>
      <c r="E4" s="7"/>
    </row>
    <row r="5" spans="1:15">
      <c r="A5" s="221" t="s">
        <v>62</v>
      </c>
      <c r="B5">
        <v>0.28699999999999998</v>
      </c>
      <c r="C5" s="7"/>
      <c r="D5" s="225"/>
      <c r="E5" s="7"/>
    </row>
    <row r="6" spans="1:15">
      <c r="A6" s="221" t="s">
        <v>63</v>
      </c>
      <c r="B6">
        <v>2.5299999999999998</v>
      </c>
      <c r="C6" s="7"/>
      <c r="D6" s="225"/>
      <c r="E6" s="7"/>
    </row>
    <row r="7" spans="1:15">
      <c r="A7" s="226" t="s">
        <v>64</v>
      </c>
      <c r="B7" s="227">
        <v>10180</v>
      </c>
      <c r="C7" s="228"/>
      <c r="D7" s="229"/>
      <c r="E7" s="7"/>
    </row>
    <row r="8" spans="1:15">
      <c r="B8" s="230"/>
      <c r="C8" s="7"/>
      <c r="E8" s="7"/>
      <c r="H8" s="544" t="s">
        <v>65</v>
      </c>
      <c r="I8" s="545"/>
      <c r="J8" s="545"/>
      <c r="K8" s="545"/>
      <c r="L8" s="545"/>
      <c r="M8" s="545"/>
      <c r="N8" s="545"/>
      <c r="O8" s="546"/>
    </row>
    <row r="9" spans="1:15" ht="45">
      <c r="A9" s="231" t="s">
        <v>66</v>
      </c>
      <c r="B9" s="222" t="s">
        <v>67</v>
      </c>
      <c r="C9" s="231" t="s">
        <v>68</v>
      </c>
      <c r="D9" s="222" t="s">
        <v>69</v>
      </c>
      <c r="E9" s="231" t="s">
        <v>70</v>
      </c>
      <c r="F9" s="231" t="s">
        <v>71</v>
      </c>
      <c r="G9" s="222" t="s">
        <v>72</v>
      </c>
      <c r="H9" s="232" t="s">
        <v>73</v>
      </c>
      <c r="I9" s="233" t="s">
        <v>74</v>
      </c>
      <c r="J9" s="232" t="s">
        <v>75</v>
      </c>
      <c r="K9" s="233" t="s">
        <v>76</v>
      </c>
      <c r="L9" s="232" t="s">
        <v>77</v>
      </c>
      <c r="M9" s="233" t="s">
        <v>78</v>
      </c>
      <c r="N9" s="232" t="s">
        <v>79</v>
      </c>
      <c r="O9" s="233" t="s">
        <v>80</v>
      </c>
    </row>
    <row r="10" spans="1:15">
      <c r="A10" t="s">
        <v>81</v>
      </c>
      <c r="B10" s="234">
        <v>2206</v>
      </c>
      <c r="C10" s="7">
        <v>269.39999999999998</v>
      </c>
      <c r="D10">
        <f>B10*C10</f>
        <v>594296.39999999991</v>
      </c>
      <c r="E10" s="7">
        <v>87.4</v>
      </c>
      <c r="F10">
        <f>B10*E10</f>
        <v>192804.40000000002</v>
      </c>
      <c r="G10" s="235">
        <f>1-(F10/D10)</f>
        <v>0.67557535263548618</v>
      </c>
      <c r="H10" s="236">
        <f>(D10*$B$3)/$D$3</f>
        <v>1065.4737136032511</v>
      </c>
      <c r="I10" s="237">
        <f>(F10*$B$3)/$D$3</f>
        <v>345.66593381189375</v>
      </c>
      <c r="J10" s="236">
        <f>(D10*$B$4)/$D$3</f>
        <v>4.9394513139627989</v>
      </c>
      <c r="K10" s="237">
        <f>(F10*$B$4)/$D$3</f>
        <v>1.6024797507065653</v>
      </c>
      <c r="L10" s="236">
        <f>(D10*$B$5)/$D$3</f>
        <v>0.18801359775959192</v>
      </c>
      <c r="M10" s="237">
        <f>(F10*$B$5)/$D$3</f>
        <v>6.099624515288915E-2</v>
      </c>
      <c r="N10" s="236">
        <f>(D10*$B$6)/$D$3</f>
        <v>1.65740209871696</v>
      </c>
      <c r="O10" s="237">
        <f>(F10*$B$6)/$D$3</f>
        <v>0.53770209141745484</v>
      </c>
    </row>
    <row r="11" spans="1:15">
      <c r="A11" t="s">
        <v>82</v>
      </c>
      <c r="B11" s="234">
        <v>228</v>
      </c>
      <c r="C11" s="7">
        <v>187.20000000000002</v>
      </c>
      <c r="D11">
        <f t="shared" ref="D11:D15" si="0">B11*C11</f>
        <v>42681.600000000006</v>
      </c>
      <c r="E11" s="7">
        <v>16.399999999999999</v>
      </c>
      <c r="F11">
        <f t="shared" ref="F11:F15" si="1">B11*E11</f>
        <v>3739.2</v>
      </c>
      <c r="G11" s="235">
        <f t="shared" ref="G11:G16" si="2">1-(F11/D11)</f>
        <v>0.91239316239316237</v>
      </c>
      <c r="H11" s="236">
        <f t="shared" ref="H11:H15" si="3">(D11*$B$3)/$D$3</f>
        <v>76.520946205510484</v>
      </c>
      <c r="I11" s="237">
        <f t="shared" ref="I11:I15" si="4">(F11*$B$3)/$D$3</f>
        <v>6.7037581077477117</v>
      </c>
      <c r="J11" s="236">
        <f t="shared" ref="J11:J15" si="5">(D11*$B$4)/$D$3</f>
        <v>0.3547450147805617</v>
      </c>
      <c r="K11" s="237">
        <f t="shared" ref="K11:K15" si="6">(F11*$B$4)/$D$3</f>
        <v>3.1078088901715872E-2</v>
      </c>
      <c r="L11" s="236">
        <f t="shared" ref="L11:L15" si="7">(D11*$B$5)/$D$3</f>
        <v>1.3502893798676554E-2</v>
      </c>
      <c r="M11" s="237">
        <f t="shared" ref="M11:M15" si="8">(F11*$B$5)/$D$3</f>
        <v>1.1829458242430309E-3</v>
      </c>
      <c r="N11" s="236">
        <f t="shared" ref="N11:N15" si="9">(D11*$B$6)/$D$3</f>
        <v>0.11903247843432641</v>
      </c>
      <c r="O11" s="237">
        <f t="shared" ref="O11:O15" si="10">(F11*$B$6)/$D$3</f>
        <v>1.0428059008135432E-2</v>
      </c>
    </row>
    <row r="12" spans="1:15">
      <c r="A12" t="s">
        <v>83</v>
      </c>
      <c r="B12" s="234">
        <v>174</v>
      </c>
      <c r="C12" s="7">
        <v>194.8</v>
      </c>
      <c r="D12">
        <f t="shared" si="0"/>
        <v>33895.200000000004</v>
      </c>
      <c r="E12" s="7">
        <v>10.600000000000001</v>
      </c>
      <c r="F12">
        <f t="shared" si="1"/>
        <v>1844.4000000000003</v>
      </c>
      <c r="G12" s="235">
        <f t="shared" si="2"/>
        <v>0.94558521560574949</v>
      </c>
      <c r="H12" s="236">
        <f t="shared" si="3"/>
        <v>60.768405491476862</v>
      </c>
      <c r="I12" s="237">
        <f t="shared" si="4"/>
        <v>3.3066996828011024</v>
      </c>
      <c r="J12" s="236">
        <f t="shared" si="5"/>
        <v>0.28171749008917418</v>
      </c>
      <c r="K12" s="237">
        <f t="shared" si="6"/>
        <v>1.5329596483291817E-2</v>
      </c>
      <c r="L12" s="236">
        <f t="shared" si="7"/>
        <v>1.0723198893314719E-2</v>
      </c>
      <c r="M12" s="237">
        <f t="shared" si="8"/>
        <v>5.8350055579638605E-4</v>
      </c>
      <c r="N12" s="236">
        <f t="shared" si="9"/>
        <v>9.4528547735492116E-2</v>
      </c>
      <c r="O12" s="237">
        <f t="shared" si="10"/>
        <v>5.143750544128421E-3</v>
      </c>
    </row>
    <row r="13" spans="1:15">
      <c r="A13" t="s">
        <v>84</v>
      </c>
      <c r="B13" s="234">
        <v>313</v>
      </c>
      <c r="C13" s="7">
        <v>279.39999999999998</v>
      </c>
      <c r="D13">
        <f t="shared" si="0"/>
        <v>87452.2</v>
      </c>
      <c r="E13" s="7">
        <v>98.2</v>
      </c>
      <c r="F13">
        <f t="shared" si="1"/>
        <v>30736.600000000002</v>
      </c>
      <c r="G13" s="235">
        <f t="shared" si="2"/>
        <v>0.64853256979241225</v>
      </c>
      <c r="H13" s="236">
        <f t="shared" si="3"/>
        <v>156.78711884637741</v>
      </c>
      <c r="I13" s="237">
        <f t="shared" si="4"/>
        <v>55.105565750587921</v>
      </c>
      <c r="J13" s="236">
        <f t="shared" si="5"/>
        <v>0.72685260115817207</v>
      </c>
      <c r="K13" s="237">
        <f t="shared" si="6"/>
        <v>0.25546501586876341</v>
      </c>
      <c r="L13" s="236">
        <f t="shared" si="7"/>
        <v>2.766667062763864E-2</v>
      </c>
      <c r="M13" s="237">
        <f t="shared" si="8"/>
        <v>9.7239336278959008E-3</v>
      </c>
      <c r="N13" s="236">
        <f t="shared" si="9"/>
        <v>0.24389085953981102</v>
      </c>
      <c r="O13" s="237">
        <f t="shared" si="10"/>
        <v>8.5719693653577109E-2</v>
      </c>
    </row>
    <row r="14" spans="1:15">
      <c r="A14" t="s">
        <v>85</v>
      </c>
      <c r="B14" s="234">
        <v>33</v>
      </c>
      <c r="C14" s="7">
        <v>911.4</v>
      </c>
      <c r="D14">
        <f t="shared" si="0"/>
        <v>30076.2</v>
      </c>
      <c r="E14" s="7">
        <v>27.6</v>
      </c>
      <c r="F14">
        <f t="shared" si="1"/>
        <v>910.80000000000007</v>
      </c>
      <c r="G14" s="235">
        <f t="shared" si="2"/>
        <v>0.96971691902567481</v>
      </c>
      <c r="H14" s="236">
        <f t="shared" si="3"/>
        <v>53.921579375332094</v>
      </c>
      <c r="I14" s="237">
        <f t="shared" si="4"/>
        <v>1.6329115544866861</v>
      </c>
      <c r="J14" s="236">
        <f t="shared" si="5"/>
        <v>0.24997614929016554</v>
      </c>
      <c r="K14" s="237">
        <f t="shared" si="6"/>
        <v>7.5700479706040918E-3</v>
      </c>
      <c r="L14" s="236">
        <f t="shared" si="7"/>
        <v>9.5150072740421091E-3</v>
      </c>
      <c r="M14" s="237">
        <f t="shared" si="8"/>
        <v>2.8814373575111068E-4</v>
      </c>
      <c r="N14" s="236">
        <f t="shared" si="9"/>
        <v>8.3877938687548906E-2</v>
      </c>
      <c r="O14" s="237">
        <f t="shared" si="10"/>
        <v>2.5400824092345294E-3</v>
      </c>
    </row>
    <row r="15" spans="1:15">
      <c r="A15" t="s">
        <v>86</v>
      </c>
      <c r="B15" s="234">
        <v>266</v>
      </c>
      <c r="C15" s="7">
        <v>845.4</v>
      </c>
      <c r="D15">
        <f t="shared" si="0"/>
        <v>224876.4</v>
      </c>
      <c r="E15" s="7">
        <v>160</v>
      </c>
      <c r="F15">
        <f t="shared" si="1"/>
        <v>42560</v>
      </c>
      <c r="G15" s="235">
        <f t="shared" si="2"/>
        <v>0.81074047788029335</v>
      </c>
      <c r="H15" s="236">
        <f t="shared" si="3"/>
        <v>403.16564766290054</v>
      </c>
      <c r="I15" s="237">
        <f t="shared" si="4"/>
        <v>76.302937811762575</v>
      </c>
      <c r="J15" s="236">
        <f t="shared" si="5"/>
        <v>1.8690438465708759</v>
      </c>
      <c r="K15" s="237">
        <f t="shared" si="6"/>
        <v>0.35373434522278235</v>
      </c>
      <c r="L15" s="236">
        <f t="shared" si="7"/>
        <v>7.1142650393347662E-2</v>
      </c>
      <c r="M15" s="237">
        <f t="shared" si="8"/>
        <v>1.3464424015774339E-2</v>
      </c>
      <c r="N15" s="236">
        <f t="shared" si="9"/>
        <v>0.62714601217829113</v>
      </c>
      <c r="O15" s="237">
        <f t="shared" si="10"/>
        <v>0.11869335456414312</v>
      </c>
    </row>
    <row r="16" spans="1:15">
      <c r="A16" s="222" t="s">
        <v>87</v>
      </c>
      <c r="B16" s="234">
        <f>SUM(B10:B15)</f>
        <v>3220</v>
      </c>
      <c r="C16" s="231"/>
      <c r="D16" s="222">
        <f>SUM(D10:D15)</f>
        <v>1013277.9999999998</v>
      </c>
      <c r="E16" s="231"/>
      <c r="F16" s="222">
        <f>SUM(F10:F15)</f>
        <v>272595.40000000002</v>
      </c>
      <c r="G16" s="238">
        <f t="shared" si="2"/>
        <v>0.73097669149039057</v>
      </c>
      <c r="H16" s="239">
        <f>SUM(H10:H15)</f>
        <v>1816.6374111848484</v>
      </c>
      <c r="I16" s="240">
        <f t="shared" ref="I16:O16" si="11">SUM(I10:I15)</f>
        <v>488.71780671927968</v>
      </c>
      <c r="J16" s="239">
        <f t="shared" si="11"/>
        <v>8.4217864158517486</v>
      </c>
      <c r="K16" s="240">
        <f t="shared" si="11"/>
        <v>2.2656568451537229</v>
      </c>
      <c r="L16" s="239">
        <f t="shared" si="11"/>
        <v>0.32056401874661161</v>
      </c>
      <c r="M16" s="240">
        <f t="shared" si="11"/>
        <v>8.6239192912349938E-2</v>
      </c>
      <c r="N16" s="239">
        <f t="shared" si="11"/>
        <v>2.825877935292429</v>
      </c>
      <c r="O16" s="240">
        <f t="shared" si="11"/>
        <v>0.76022703159667349</v>
      </c>
    </row>
    <row r="17" spans="2:15">
      <c r="B17" s="234"/>
      <c r="C17" s="7"/>
      <c r="D17" s="222"/>
      <c r="E17" s="7"/>
      <c r="H17" s="547">
        <f>H16-I16</f>
        <v>1327.9196044655687</v>
      </c>
      <c r="I17" s="548"/>
      <c r="J17" s="547">
        <f>J16-K16</f>
        <v>6.1561295706980257</v>
      </c>
      <c r="K17" s="548"/>
      <c r="L17" s="547">
        <f t="shared" ref="L17" si="12">L16-M16</f>
        <v>0.23432482583426167</v>
      </c>
      <c r="M17" s="549"/>
      <c r="N17" s="547">
        <f t="shared" ref="N17" si="13">N16-O16</f>
        <v>2.0656509036957553</v>
      </c>
      <c r="O17" s="548"/>
    </row>
    <row r="18" spans="2:15">
      <c r="B18" s="234"/>
      <c r="C18" s="231"/>
      <c r="E18" s="7"/>
      <c r="H18" s="539">
        <f>H17/H16</f>
        <v>0.73097669149039057</v>
      </c>
      <c r="I18" s="540"/>
      <c r="J18" s="539">
        <f>J17/J16</f>
        <v>0.73097669149039057</v>
      </c>
      <c r="K18" s="540"/>
      <c r="L18" s="539">
        <f>L17/L16</f>
        <v>0.73097669149039046</v>
      </c>
      <c r="M18" s="540"/>
      <c r="N18" s="539">
        <f>N17/N16</f>
        <v>0.73097669149039046</v>
      </c>
      <c r="O18" s="540"/>
    </row>
  </sheetData>
  <mergeCells count="10">
    <mergeCell ref="H18:I18"/>
    <mergeCell ref="J18:K18"/>
    <mergeCell ref="L18:M18"/>
    <mergeCell ref="N18:O18"/>
    <mergeCell ref="A1:D1"/>
    <mergeCell ref="H8:O8"/>
    <mergeCell ref="H17:I17"/>
    <mergeCell ref="J17:K17"/>
    <mergeCell ref="L17:M17"/>
    <mergeCell ref="N17:O1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workbookViewId="0"/>
  </sheetViews>
  <sheetFormatPr defaultRowHeight="15"/>
  <cols>
    <col min="1" max="1" width="22.28515625" customWidth="1"/>
    <col min="2" max="2" width="22.140625" customWidth="1"/>
    <col min="3" max="3" width="17.7109375" customWidth="1"/>
    <col min="4" max="4" width="19.5703125" customWidth="1"/>
    <col min="5" max="5" width="14.85546875" customWidth="1"/>
    <col min="6" max="6" width="16.42578125" customWidth="1"/>
  </cols>
  <sheetData>
    <row r="1" spans="1:7">
      <c r="A1" s="541" t="s">
        <v>57</v>
      </c>
      <c r="B1" s="542"/>
      <c r="C1" s="542"/>
      <c r="D1" s="543"/>
    </row>
    <row r="2" spans="1:7">
      <c r="A2" s="221"/>
      <c r="B2" s="222" t="s">
        <v>58</v>
      </c>
      <c r="C2" s="7"/>
      <c r="D2" s="223" t="s">
        <v>59</v>
      </c>
    </row>
    <row r="3" spans="1:7">
      <c r="A3" s="221" t="s">
        <v>60</v>
      </c>
      <c r="B3" s="224">
        <v>1626.43</v>
      </c>
      <c r="C3" s="7"/>
      <c r="D3" s="225">
        <v>907184.74</v>
      </c>
    </row>
    <row r="4" spans="1:7">
      <c r="A4" s="221" t="s">
        <v>61</v>
      </c>
      <c r="B4">
        <v>7.54</v>
      </c>
      <c r="C4" s="7"/>
      <c r="D4" s="225"/>
    </row>
    <row r="5" spans="1:7">
      <c r="A5" s="221" t="s">
        <v>62</v>
      </c>
      <c r="B5">
        <v>0.28699999999999998</v>
      </c>
      <c r="C5" s="7"/>
      <c r="D5" s="225"/>
    </row>
    <row r="6" spans="1:7">
      <c r="A6" s="221" t="s">
        <v>63</v>
      </c>
      <c r="B6">
        <v>2.5299999999999998</v>
      </c>
      <c r="C6" s="7"/>
      <c r="D6" s="225"/>
    </row>
    <row r="7" spans="1:7">
      <c r="A7" s="226" t="s">
        <v>64</v>
      </c>
      <c r="B7" s="227">
        <v>10180</v>
      </c>
      <c r="C7" s="228"/>
      <c r="D7" s="229"/>
    </row>
    <row r="9" spans="1:7">
      <c r="A9" s="550" t="s">
        <v>88</v>
      </c>
      <c r="B9" s="551"/>
      <c r="C9" s="551"/>
      <c r="D9" s="551"/>
      <c r="E9" s="551"/>
      <c r="F9" s="551"/>
      <c r="G9" s="552"/>
    </row>
    <row r="10" spans="1:7" ht="45">
      <c r="A10" s="231" t="s">
        <v>66</v>
      </c>
      <c r="B10" s="231" t="s">
        <v>89</v>
      </c>
      <c r="C10" s="231" t="s">
        <v>90</v>
      </c>
      <c r="D10" s="231" t="s">
        <v>91</v>
      </c>
      <c r="E10" s="231" t="s">
        <v>92</v>
      </c>
      <c r="F10" s="231" t="s">
        <v>93</v>
      </c>
      <c r="G10" s="241" t="s">
        <v>94</v>
      </c>
    </row>
    <row r="11" spans="1:7">
      <c r="A11" t="s">
        <v>81</v>
      </c>
      <c r="B11">
        <v>49</v>
      </c>
      <c r="C11">
        <v>130</v>
      </c>
      <c r="D11">
        <v>5</v>
      </c>
      <c r="E11">
        <f>C11*D11</f>
        <v>650</v>
      </c>
      <c r="F11">
        <f>B11*E11</f>
        <v>31850</v>
      </c>
      <c r="G11" s="237">
        <f>(F11*$B$7)/$D$3</f>
        <v>357.40570327494709</v>
      </c>
    </row>
    <row r="12" spans="1:7">
      <c r="A12" t="s">
        <v>82</v>
      </c>
      <c r="B12">
        <v>5</v>
      </c>
      <c r="C12">
        <v>130</v>
      </c>
      <c r="D12">
        <v>5</v>
      </c>
      <c r="E12">
        <f t="shared" ref="E12:E15" si="0">C12*D12</f>
        <v>650</v>
      </c>
      <c r="F12">
        <f t="shared" ref="F12:F16" si="1">B12*E12</f>
        <v>3250</v>
      </c>
      <c r="G12" s="237">
        <f t="shared" ref="G12:G16" si="2">(F12*$B$7)/$D$3</f>
        <v>36.469969721933374</v>
      </c>
    </row>
    <row r="13" spans="1:7">
      <c r="A13" t="s">
        <v>83</v>
      </c>
      <c r="B13">
        <v>4</v>
      </c>
      <c r="C13">
        <v>130</v>
      </c>
      <c r="D13">
        <v>5</v>
      </c>
      <c r="E13">
        <f t="shared" si="0"/>
        <v>650</v>
      </c>
      <c r="F13">
        <f t="shared" si="1"/>
        <v>2600</v>
      </c>
      <c r="G13" s="237">
        <f t="shared" si="2"/>
        <v>29.1759757775467</v>
      </c>
    </row>
    <row r="14" spans="1:7">
      <c r="A14" t="s">
        <v>84</v>
      </c>
      <c r="B14">
        <v>7</v>
      </c>
      <c r="C14">
        <v>130</v>
      </c>
      <c r="D14">
        <v>5</v>
      </c>
      <c r="E14">
        <f t="shared" si="0"/>
        <v>650</v>
      </c>
      <c r="F14">
        <f t="shared" si="1"/>
        <v>4550</v>
      </c>
      <c r="G14" s="237">
        <f t="shared" si="2"/>
        <v>51.057957610706723</v>
      </c>
    </row>
    <row r="15" spans="1:7">
      <c r="A15" t="s">
        <v>85</v>
      </c>
      <c r="B15">
        <v>1</v>
      </c>
      <c r="C15">
        <v>764</v>
      </c>
      <c r="D15">
        <v>5</v>
      </c>
      <c r="E15">
        <f t="shared" si="0"/>
        <v>3820</v>
      </c>
      <c r="F15">
        <f t="shared" si="1"/>
        <v>3820</v>
      </c>
      <c r="G15" s="237">
        <f t="shared" si="2"/>
        <v>42.866241334703226</v>
      </c>
    </row>
    <row r="16" spans="1:7">
      <c r="A16" t="s">
        <v>86</v>
      </c>
      <c r="B16">
        <v>2</v>
      </c>
      <c r="C16">
        <v>764</v>
      </c>
      <c r="D16">
        <v>5</v>
      </c>
      <c r="E16">
        <f>C16*D16</f>
        <v>3820</v>
      </c>
      <c r="F16">
        <f t="shared" si="1"/>
        <v>7640</v>
      </c>
      <c r="G16" s="237">
        <f t="shared" si="2"/>
        <v>85.732482669406451</v>
      </c>
    </row>
    <row r="17" spans="1:7">
      <c r="A17" s="242" t="s">
        <v>87</v>
      </c>
      <c r="B17" s="242">
        <f>SUM(B11:B16)</f>
        <v>68</v>
      </c>
      <c r="C17" s="242"/>
      <c r="D17" s="242"/>
      <c r="E17" s="242"/>
      <c r="F17" s="242">
        <f>SUM(F11:F16)</f>
        <v>53710</v>
      </c>
      <c r="G17" s="243">
        <f>SUM(G11:G16)</f>
        <v>602.70833038924343</v>
      </c>
    </row>
  </sheetData>
  <mergeCells count="2">
    <mergeCell ref="A1:D1"/>
    <mergeCell ref="A9:G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L11"/>
  <sheetViews>
    <sheetView workbookViewId="0">
      <selection activeCell="E4" sqref="E4"/>
    </sheetView>
  </sheetViews>
  <sheetFormatPr defaultRowHeight="15"/>
  <cols>
    <col min="1" max="1" width="172.85546875" customWidth="1"/>
    <col min="4" max="4" width="21.85546875" customWidth="1"/>
    <col min="5" max="5" width="13.5703125" customWidth="1"/>
    <col min="6" max="6" width="25.7109375" customWidth="1"/>
    <col min="10" max="10" width="29" customWidth="1"/>
    <col min="11" max="11" width="34.28515625" customWidth="1"/>
    <col min="12" max="12" width="39.28515625" customWidth="1"/>
  </cols>
  <sheetData>
    <row r="1" spans="1:12">
      <c r="A1" s="214" t="s">
        <v>95</v>
      </c>
    </row>
    <row r="2" spans="1:12" ht="30">
      <c r="A2" s="214" t="s">
        <v>96</v>
      </c>
      <c r="D2" s="244" t="s">
        <v>97</v>
      </c>
      <c r="E2" s="245" t="s">
        <v>98</v>
      </c>
      <c r="F2" s="244" t="s">
        <v>99</v>
      </c>
      <c r="G2" s="246" t="s">
        <v>98</v>
      </c>
      <c r="J2" s="260" t="s">
        <v>100</v>
      </c>
      <c r="K2" s="260" t="s">
        <v>101</v>
      </c>
      <c r="L2" s="260" t="s">
        <v>102</v>
      </c>
    </row>
    <row r="3" spans="1:12">
      <c r="A3" s="214" t="s">
        <v>21</v>
      </c>
      <c r="D3" s="247" t="s">
        <v>103</v>
      </c>
      <c r="E3" s="248">
        <f>'VMT Emissions'!I16</f>
        <v>488.71780671927968</v>
      </c>
      <c r="F3" s="247" t="s">
        <v>104</v>
      </c>
      <c r="G3" s="249">
        <f>'VMT Emissions'!H16</f>
        <v>1816.6374111848484</v>
      </c>
      <c r="J3" s="256" t="s">
        <v>21</v>
      </c>
      <c r="K3" s="257"/>
      <c r="L3" s="257"/>
    </row>
    <row r="4" spans="1:12">
      <c r="A4" s="214" t="s">
        <v>105</v>
      </c>
      <c r="D4" s="247" t="s">
        <v>106</v>
      </c>
      <c r="E4" s="248">
        <f>'Towing Vessel Emissions'!G17</f>
        <v>602.70833038924343</v>
      </c>
      <c r="F4" s="247"/>
      <c r="G4" s="250"/>
      <c r="J4" s="258" t="s">
        <v>107</v>
      </c>
      <c r="K4" s="259">
        <v>3626</v>
      </c>
      <c r="L4" s="259">
        <v>18130</v>
      </c>
    </row>
    <row r="5" spans="1:12">
      <c r="A5" s="214" t="s">
        <v>21</v>
      </c>
      <c r="D5" s="251" t="s">
        <v>108</v>
      </c>
      <c r="E5" s="252">
        <f>SUM(E3:E4)</f>
        <v>1091.4261371085231</v>
      </c>
      <c r="F5" s="251" t="s">
        <v>108</v>
      </c>
      <c r="G5" s="253">
        <f>G3</f>
        <v>1816.6374111848484</v>
      </c>
    </row>
    <row r="6" spans="1:12">
      <c r="A6" s="254" t="s">
        <v>109</v>
      </c>
    </row>
    <row r="8" spans="1:12">
      <c r="A8" s="213" t="s">
        <v>110</v>
      </c>
    </row>
    <row r="9" spans="1:12">
      <c r="A9" s="214" t="s">
        <v>111</v>
      </c>
    </row>
    <row r="10" spans="1:12">
      <c r="A10" s="214" t="s">
        <v>21</v>
      </c>
    </row>
    <row r="11" spans="1:12">
      <c r="A11" s="254" t="s">
        <v>112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A18"/>
  <sheetViews>
    <sheetView workbookViewId="0">
      <selection activeCell="D7" sqref="D7"/>
    </sheetView>
  </sheetViews>
  <sheetFormatPr defaultRowHeight="15"/>
  <cols>
    <col min="1" max="1" width="172.5703125" customWidth="1"/>
  </cols>
  <sheetData>
    <row r="1" spans="1:1">
      <c r="A1" s="6" t="s">
        <v>0</v>
      </c>
    </row>
    <row r="2" spans="1:1" ht="45">
      <c r="A2" s="4" t="s">
        <v>113</v>
      </c>
    </row>
    <row r="3" spans="1:1">
      <c r="A3" s="7"/>
    </row>
    <row r="4" spans="1:1">
      <c r="A4" s="7"/>
    </row>
    <row r="5" spans="1:1">
      <c r="A5" s="7"/>
    </row>
    <row r="6" spans="1:1">
      <c r="A6" s="7"/>
    </row>
    <row r="7" spans="1:1">
      <c r="A7" s="7"/>
    </row>
    <row r="8" spans="1:1">
      <c r="A8" s="7"/>
    </row>
    <row r="9" spans="1:1">
      <c r="A9" s="7"/>
    </row>
    <row r="10" spans="1:1">
      <c r="A10" s="7"/>
    </row>
    <row r="11" spans="1:1">
      <c r="A11" s="7"/>
    </row>
    <row r="12" spans="1:1">
      <c r="A12" s="7"/>
    </row>
    <row r="13" spans="1:1">
      <c r="A13" s="5" t="s">
        <v>6</v>
      </c>
    </row>
    <row r="14" spans="1:1">
      <c r="A14" t="s">
        <v>114</v>
      </c>
    </row>
    <row r="15" spans="1:1">
      <c r="A15" s="44" t="s">
        <v>115</v>
      </c>
    </row>
    <row r="16" spans="1:1">
      <c r="A16" s="44" t="s">
        <v>116</v>
      </c>
    </row>
    <row r="17" spans="1:1">
      <c r="A17" s="197" t="s">
        <v>117</v>
      </c>
    </row>
    <row r="18" spans="1:1">
      <c r="A18" s="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T65"/>
  <sheetViews>
    <sheetView topLeftCell="J14" workbookViewId="0">
      <selection activeCell="J14" sqref="J14:O14"/>
    </sheetView>
  </sheetViews>
  <sheetFormatPr defaultRowHeight="15"/>
  <cols>
    <col min="7" max="7" width="11.42578125" customWidth="1"/>
  </cols>
  <sheetData>
    <row r="1" spans="1:20" ht="18.75">
      <c r="A1" s="53" t="s">
        <v>118</v>
      </c>
      <c r="B1" s="54"/>
      <c r="C1" s="54"/>
      <c r="D1" s="54"/>
      <c r="E1" s="53" t="s">
        <v>119</v>
      </c>
      <c r="F1" s="54"/>
      <c r="G1" s="53" t="s">
        <v>120</v>
      </c>
      <c r="H1" s="530"/>
      <c r="I1" s="530"/>
      <c r="J1" s="530"/>
      <c r="K1" s="530"/>
      <c r="L1" s="530"/>
      <c r="M1" s="530"/>
      <c r="N1" s="530"/>
      <c r="O1" s="530"/>
      <c r="P1" s="530"/>
      <c r="Q1" s="530"/>
      <c r="R1" s="530"/>
      <c r="S1" s="530"/>
      <c r="T1" s="530"/>
    </row>
    <row r="2" spans="1:20" ht="18.75">
      <c r="A2" s="53" t="s">
        <v>121</v>
      </c>
      <c r="B2" s="54"/>
      <c r="C2" s="54"/>
      <c r="D2" s="54"/>
      <c r="E2" s="53" t="s">
        <v>122</v>
      </c>
      <c r="F2" s="54"/>
      <c r="G2" s="54"/>
      <c r="H2" s="530"/>
      <c r="I2" s="530"/>
      <c r="J2" s="530" t="s">
        <v>123</v>
      </c>
      <c r="K2" s="530" t="s">
        <v>124</v>
      </c>
      <c r="L2" s="530"/>
      <c r="M2" s="530"/>
      <c r="N2" s="530"/>
      <c r="O2" s="530"/>
      <c r="P2" s="530"/>
      <c r="Q2" s="530"/>
      <c r="R2" s="530"/>
      <c r="S2" s="530"/>
      <c r="T2" s="530"/>
    </row>
    <row r="3" spans="1:20" ht="18.75">
      <c r="A3" s="53"/>
      <c r="B3" s="530"/>
      <c r="C3" s="530"/>
      <c r="D3" s="53" t="s">
        <v>125</v>
      </c>
      <c r="E3" s="53" t="s">
        <v>126</v>
      </c>
      <c r="F3" s="54"/>
      <c r="G3" s="530"/>
      <c r="H3" s="530"/>
      <c r="I3" s="530"/>
      <c r="J3" s="55" t="s">
        <v>127</v>
      </c>
      <c r="K3" s="56">
        <v>24</v>
      </c>
      <c r="L3" s="530"/>
      <c r="M3" s="530"/>
      <c r="N3" s="530"/>
      <c r="O3" s="530"/>
      <c r="P3" s="530"/>
      <c r="Q3" s="530"/>
      <c r="R3" s="530"/>
      <c r="S3" s="530"/>
      <c r="T3" s="530"/>
    </row>
    <row r="4" spans="1:20">
      <c r="A4" s="57"/>
      <c r="B4" s="530"/>
      <c r="C4" s="530"/>
      <c r="D4" s="530"/>
      <c r="E4" s="530"/>
      <c r="F4" s="530"/>
      <c r="G4" s="530"/>
      <c r="H4" s="530"/>
      <c r="I4" s="530"/>
      <c r="J4" s="58" t="s">
        <v>128</v>
      </c>
      <c r="K4" s="59">
        <v>16</v>
      </c>
      <c r="L4" s="530"/>
      <c r="M4" s="530"/>
      <c r="N4" s="530"/>
      <c r="O4" s="530"/>
      <c r="P4" s="530"/>
      <c r="Q4" s="530"/>
      <c r="R4" s="530"/>
      <c r="S4" s="530"/>
      <c r="T4" s="530"/>
    </row>
    <row r="5" spans="1:20">
      <c r="A5" s="530"/>
      <c r="B5" s="60" t="s">
        <v>129</v>
      </c>
      <c r="C5" s="530"/>
      <c r="D5" s="530"/>
      <c r="E5" s="530"/>
      <c r="F5" s="530"/>
      <c r="G5" s="530"/>
      <c r="H5" s="530"/>
      <c r="I5" s="530"/>
      <c r="J5" s="58" t="s">
        <v>130</v>
      </c>
      <c r="K5" s="59">
        <v>10</v>
      </c>
      <c r="L5" s="530"/>
      <c r="M5" s="530"/>
      <c r="N5" s="530"/>
      <c r="O5" s="530"/>
      <c r="P5" s="530"/>
      <c r="Q5" s="530"/>
      <c r="R5" s="530"/>
      <c r="S5" s="530"/>
      <c r="T5" s="530"/>
    </row>
    <row r="6" spans="1:20">
      <c r="A6" s="57" t="s">
        <v>131</v>
      </c>
      <c r="B6" s="61">
        <v>1500</v>
      </c>
      <c r="C6" s="530" t="s">
        <v>132</v>
      </c>
      <c r="D6" s="556"/>
      <c r="E6" s="556"/>
      <c r="F6" s="556"/>
      <c r="G6" s="556"/>
      <c r="H6" s="556"/>
      <c r="I6" s="556"/>
      <c r="J6" s="530" t="s">
        <v>133</v>
      </c>
      <c r="K6" s="58">
        <v>146</v>
      </c>
      <c r="L6" s="530"/>
      <c r="M6" s="530"/>
      <c r="N6" s="530"/>
      <c r="O6" s="530"/>
      <c r="P6" s="530"/>
      <c r="Q6" s="530"/>
      <c r="R6" s="530"/>
      <c r="S6" s="530"/>
      <c r="T6" s="530"/>
    </row>
    <row r="7" spans="1:20">
      <c r="A7" s="57" t="s">
        <v>134</v>
      </c>
      <c r="B7" s="62">
        <v>21</v>
      </c>
      <c r="C7" s="530" t="s">
        <v>135</v>
      </c>
      <c r="D7" s="556"/>
      <c r="E7" s="556"/>
      <c r="F7" s="556"/>
      <c r="G7" s="556"/>
      <c r="H7" s="556"/>
      <c r="I7" s="556"/>
      <c r="J7" s="530" t="s">
        <v>136</v>
      </c>
      <c r="K7" s="58">
        <v>21</v>
      </c>
      <c r="L7" s="530"/>
      <c r="M7" s="530"/>
      <c r="N7" s="530"/>
      <c r="O7" s="530"/>
      <c r="P7" s="530"/>
      <c r="Q7" s="530"/>
      <c r="R7" s="530"/>
      <c r="S7" s="530"/>
      <c r="T7" s="530"/>
    </row>
    <row r="8" spans="1:20">
      <c r="A8" s="57" t="s">
        <v>137</v>
      </c>
      <c r="B8" s="58">
        <v>6300</v>
      </c>
      <c r="C8" s="530" t="s">
        <v>138</v>
      </c>
      <c r="D8" s="63"/>
      <c r="E8" s="63"/>
      <c r="F8" s="61">
        <v>300</v>
      </c>
      <c r="G8" s="530"/>
      <c r="H8" s="530"/>
      <c r="I8" s="530"/>
      <c r="J8" s="530"/>
      <c r="K8" s="530"/>
      <c r="L8" s="530"/>
      <c r="M8" s="530"/>
      <c r="N8" s="530"/>
      <c r="O8" s="530"/>
      <c r="P8" s="530"/>
      <c r="Q8" s="530"/>
      <c r="R8" s="530"/>
      <c r="S8" s="530"/>
      <c r="T8" s="530"/>
    </row>
    <row r="9" spans="1:20">
      <c r="A9" s="57" t="s">
        <v>139</v>
      </c>
      <c r="B9" s="64">
        <v>3</v>
      </c>
      <c r="C9" s="530" t="s">
        <v>140</v>
      </c>
      <c r="D9" s="63"/>
      <c r="E9" s="530"/>
      <c r="F9" s="530"/>
      <c r="G9" s="530"/>
      <c r="H9" s="530"/>
      <c r="I9" s="530"/>
      <c r="J9" s="530"/>
      <c r="K9" s="530"/>
      <c r="L9" s="530"/>
      <c r="M9" s="530"/>
      <c r="N9" s="530"/>
      <c r="O9" s="530"/>
      <c r="P9" s="530"/>
      <c r="Q9" s="530"/>
      <c r="R9" s="530"/>
      <c r="S9" s="530"/>
      <c r="T9" s="530"/>
    </row>
    <row r="10" spans="1:20">
      <c r="A10" s="57" t="s">
        <v>141</v>
      </c>
      <c r="B10" s="64">
        <v>5</v>
      </c>
      <c r="C10" s="530" t="s">
        <v>140</v>
      </c>
      <c r="D10" s="63"/>
      <c r="E10" s="57" t="s">
        <v>142</v>
      </c>
      <c r="F10" s="65">
        <v>15</v>
      </c>
      <c r="G10" s="530" t="s">
        <v>140</v>
      </c>
      <c r="H10" s="530"/>
      <c r="I10" s="66" t="s">
        <v>143</v>
      </c>
      <c r="J10" s="67"/>
      <c r="K10" s="67"/>
      <c r="L10" s="67"/>
      <c r="M10" s="530"/>
      <c r="N10" s="530"/>
      <c r="O10" s="530"/>
      <c r="P10" s="530"/>
      <c r="Q10" s="530"/>
      <c r="R10" s="530"/>
      <c r="S10" s="530"/>
      <c r="T10" s="530"/>
    </row>
    <row r="11" spans="1:20">
      <c r="A11" s="57"/>
      <c r="B11" s="530"/>
      <c r="C11" s="530"/>
      <c r="D11" s="530"/>
      <c r="E11" s="530"/>
      <c r="F11" s="530"/>
      <c r="G11" s="530"/>
      <c r="H11" s="530"/>
      <c r="I11" s="530"/>
      <c r="J11" s="530"/>
      <c r="K11" s="530"/>
      <c r="L11" s="530"/>
      <c r="M11" s="530"/>
      <c r="N11" s="530"/>
      <c r="O11" s="530"/>
      <c r="P11" s="530"/>
      <c r="Q11" s="530"/>
      <c r="R11" s="530"/>
      <c r="S11" s="530"/>
      <c r="T11" s="530"/>
    </row>
    <row r="12" spans="1:20" ht="18.75">
      <c r="A12" s="53" t="s">
        <v>144</v>
      </c>
      <c r="B12" s="54"/>
      <c r="C12" s="54"/>
      <c r="D12" s="54"/>
      <c r="E12" s="54"/>
      <c r="F12" s="530"/>
      <c r="G12" s="530"/>
      <c r="H12" s="530"/>
      <c r="I12" s="530"/>
      <c r="J12" s="530"/>
      <c r="K12" s="530"/>
      <c r="L12" s="530"/>
      <c r="M12" s="530"/>
      <c r="N12" s="530"/>
      <c r="O12" s="530"/>
      <c r="P12" s="530"/>
      <c r="Q12" s="530"/>
      <c r="R12" s="530"/>
      <c r="S12" s="530"/>
      <c r="T12" s="530"/>
    </row>
    <row r="13" spans="1:20">
      <c r="A13" s="57"/>
      <c r="B13" s="530"/>
      <c r="C13" s="530"/>
      <c r="D13" s="530"/>
      <c r="E13" s="530"/>
      <c r="F13" s="530"/>
      <c r="G13" s="530"/>
      <c r="H13" s="530"/>
      <c r="I13" s="530"/>
      <c r="J13" s="68" t="s">
        <v>145</v>
      </c>
      <c r="K13" s="69"/>
      <c r="L13" s="69"/>
      <c r="M13" s="69"/>
      <c r="N13" s="69"/>
      <c r="O13" s="69"/>
      <c r="P13" s="530"/>
      <c r="Q13" s="530"/>
      <c r="R13" s="530"/>
      <c r="S13" s="530"/>
      <c r="T13" s="530"/>
    </row>
    <row r="14" spans="1:20">
      <c r="A14" s="557" t="s">
        <v>146</v>
      </c>
      <c r="B14" s="558"/>
      <c r="C14" s="57"/>
      <c r="D14" s="559" t="s">
        <v>147</v>
      </c>
      <c r="E14" s="560"/>
      <c r="F14" s="560"/>
      <c r="G14" s="560"/>
      <c r="H14" s="561"/>
      <c r="I14" s="530"/>
      <c r="J14" s="562" t="s">
        <v>148</v>
      </c>
      <c r="K14" s="563"/>
      <c r="L14" s="563"/>
      <c r="M14" s="563"/>
      <c r="N14" s="563"/>
      <c r="O14" s="564"/>
      <c r="P14" s="530"/>
      <c r="Q14" s="565" t="s">
        <v>149</v>
      </c>
      <c r="R14" s="566"/>
      <c r="S14" s="566"/>
      <c r="T14" s="567"/>
    </row>
    <row r="15" spans="1:20">
      <c r="A15" s="70" t="s">
        <v>150</v>
      </c>
      <c r="B15" s="71" t="s">
        <v>151</v>
      </c>
      <c r="C15" s="57"/>
      <c r="D15" s="72" t="s">
        <v>132</v>
      </c>
      <c r="E15" s="73" t="s">
        <v>152</v>
      </c>
      <c r="F15" s="71" t="s">
        <v>153</v>
      </c>
      <c r="G15" s="71" t="s">
        <v>154</v>
      </c>
      <c r="H15" s="71" t="s">
        <v>155</v>
      </c>
      <c r="I15" s="530"/>
      <c r="J15" s="74" t="s">
        <v>132</v>
      </c>
      <c r="K15" s="71" t="s">
        <v>156</v>
      </c>
      <c r="L15" s="71" t="s">
        <v>153</v>
      </c>
      <c r="M15" s="71" t="s">
        <v>154</v>
      </c>
      <c r="N15" s="71" t="s">
        <v>155</v>
      </c>
      <c r="O15" s="75" t="s">
        <v>157</v>
      </c>
      <c r="P15" s="530"/>
      <c r="Q15" s="76" t="s">
        <v>153</v>
      </c>
      <c r="R15" s="77" t="s">
        <v>154</v>
      </c>
      <c r="S15" s="77" t="s">
        <v>155</v>
      </c>
      <c r="T15" s="77" t="s">
        <v>158</v>
      </c>
    </row>
    <row r="16" spans="1:20">
      <c r="A16" s="58" t="s">
        <v>159</v>
      </c>
      <c r="B16" s="78">
        <v>0.59799999999999998</v>
      </c>
      <c r="C16" s="530"/>
      <c r="D16" s="79">
        <v>15</v>
      </c>
      <c r="E16" s="80">
        <v>26</v>
      </c>
      <c r="F16" s="59">
        <v>3.7</v>
      </c>
      <c r="G16" s="59">
        <v>2.2000000000000002</v>
      </c>
      <c r="H16" s="59">
        <v>46.6</v>
      </c>
      <c r="I16" s="530"/>
      <c r="J16" s="81">
        <v>80</v>
      </c>
      <c r="K16" s="82">
        <v>0.439</v>
      </c>
      <c r="L16" s="59">
        <v>5</v>
      </c>
      <c r="M16" s="59">
        <v>1.5</v>
      </c>
      <c r="N16" s="59">
        <v>31.5</v>
      </c>
      <c r="O16" s="84">
        <v>-0.32</v>
      </c>
      <c r="P16" s="530"/>
      <c r="Q16" s="85">
        <v>3.8</v>
      </c>
      <c r="R16" s="86">
        <v>2.2999999999999998</v>
      </c>
      <c r="S16" s="86">
        <v>47.7</v>
      </c>
      <c r="T16" s="87">
        <v>0.51500000000000001</v>
      </c>
    </row>
    <row r="17" spans="1:20">
      <c r="A17" s="58" t="s">
        <v>160</v>
      </c>
      <c r="B17" s="78">
        <v>0</v>
      </c>
      <c r="C17" s="530"/>
      <c r="D17" s="79">
        <v>70</v>
      </c>
      <c r="E17" s="80">
        <v>80</v>
      </c>
      <c r="F17" s="59">
        <v>11.4</v>
      </c>
      <c r="G17" s="59">
        <v>0</v>
      </c>
      <c r="H17" s="59">
        <v>0</v>
      </c>
      <c r="I17" s="530"/>
      <c r="J17" s="81">
        <v>80</v>
      </c>
      <c r="K17" s="82" t="s">
        <v>21</v>
      </c>
      <c r="L17" s="59">
        <v>0</v>
      </c>
      <c r="M17" s="59">
        <v>0</v>
      </c>
      <c r="N17" s="59">
        <v>0</v>
      </c>
      <c r="O17" s="83" t="s">
        <v>21</v>
      </c>
      <c r="P17" s="530"/>
      <c r="Q17" s="85" t="s">
        <v>21</v>
      </c>
      <c r="R17" s="86">
        <v>0</v>
      </c>
      <c r="S17" s="86">
        <v>0</v>
      </c>
      <c r="T17" s="86" t="s">
        <v>21</v>
      </c>
    </row>
    <row r="18" spans="1:20">
      <c r="A18" s="58">
        <v>1</v>
      </c>
      <c r="B18" s="78">
        <v>0.124</v>
      </c>
      <c r="C18" s="530"/>
      <c r="D18" s="79">
        <v>72</v>
      </c>
      <c r="E18" s="80">
        <v>41</v>
      </c>
      <c r="F18" s="59">
        <v>5.9</v>
      </c>
      <c r="G18" s="59">
        <v>0.7</v>
      </c>
      <c r="H18" s="59">
        <v>15.3</v>
      </c>
      <c r="I18" s="530"/>
      <c r="J18" s="81">
        <v>80</v>
      </c>
      <c r="K18" s="82">
        <v>0.46200000000000002</v>
      </c>
      <c r="L18" s="59">
        <v>5.3</v>
      </c>
      <c r="M18" s="59">
        <v>0.7</v>
      </c>
      <c r="N18" s="59">
        <v>13.7</v>
      </c>
      <c r="O18" s="84">
        <v>-0.1</v>
      </c>
      <c r="P18" s="530"/>
      <c r="Q18" s="85">
        <v>6.5</v>
      </c>
      <c r="R18" s="86">
        <v>0.8</v>
      </c>
      <c r="S18" s="86">
        <v>16.899999999999999</v>
      </c>
      <c r="T18" s="87">
        <v>0.23100000000000001</v>
      </c>
    </row>
    <row r="19" spans="1:20">
      <c r="A19" s="58">
        <v>2</v>
      </c>
      <c r="B19" s="78">
        <v>0.123</v>
      </c>
      <c r="C19" s="530"/>
      <c r="D19" s="79">
        <v>233</v>
      </c>
      <c r="E19" s="80">
        <v>95</v>
      </c>
      <c r="F19" s="59">
        <v>13.6</v>
      </c>
      <c r="G19" s="59">
        <v>1.7</v>
      </c>
      <c r="H19" s="59">
        <v>35.1</v>
      </c>
      <c r="I19" s="530"/>
      <c r="J19" s="81">
        <v>173</v>
      </c>
      <c r="K19" s="82">
        <v>0.38700000000000001</v>
      </c>
      <c r="L19" s="59">
        <v>9.6</v>
      </c>
      <c r="M19" s="59">
        <v>1.2</v>
      </c>
      <c r="N19" s="59">
        <v>24.7</v>
      </c>
      <c r="O19" s="84">
        <v>-0.3</v>
      </c>
      <c r="P19" s="530"/>
      <c r="Q19" s="85">
        <v>11.5</v>
      </c>
      <c r="R19" s="86">
        <v>1.4</v>
      </c>
      <c r="S19" s="86">
        <v>29.7</v>
      </c>
      <c r="T19" s="87">
        <v>0.20200000000000001</v>
      </c>
    </row>
    <row r="20" spans="1:20">
      <c r="A20" s="58">
        <v>3</v>
      </c>
      <c r="B20" s="78">
        <v>5.8000000000000003E-2</v>
      </c>
      <c r="C20" s="530"/>
      <c r="D20" s="79">
        <v>440</v>
      </c>
      <c r="E20" s="80">
        <v>167</v>
      </c>
      <c r="F20" s="59">
        <v>23.9</v>
      </c>
      <c r="G20" s="59">
        <v>1.4</v>
      </c>
      <c r="H20" s="59">
        <v>29.1</v>
      </c>
      <c r="I20" s="530"/>
      <c r="J20" s="81">
        <v>352</v>
      </c>
      <c r="K20" s="82">
        <v>0.35199999999999998</v>
      </c>
      <c r="L20" s="59">
        <v>17.7</v>
      </c>
      <c r="M20" s="59">
        <v>1</v>
      </c>
      <c r="N20" s="59">
        <v>21.6</v>
      </c>
      <c r="O20" s="84">
        <v>-0.26</v>
      </c>
      <c r="P20" s="530"/>
      <c r="Q20" s="85">
        <v>25.2</v>
      </c>
      <c r="R20" s="86">
        <v>1.5</v>
      </c>
      <c r="S20" s="86">
        <v>30.7</v>
      </c>
      <c r="T20" s="87">
        <v>0.42399999999999999</v>
      </c>
    </row>
    <row r="21" spans="1:20">
      <c r="A21" s="58">
        <v>4</v>
      </c>
      <c r="B21" s="78">
        <v>3.5999999999999997E-2</v>
      </c>
      <c r="C21" s="530"/>
      <c r="D21" s="79">
        <v>669</v>
      </c>
      <c r="E21" s="80">
        <v>249</v>
      </c>
      <c r="F21" s="59">
        <v>35.6</v>
      </c>
      <c r="G21" s="59">
        <v>1.3</v>
      </c>
      <c r="H21" s="59">
        <v>26.9</v>
      </c>
      <c r="I21" s="530"/>
      <c r="J21" s="81">
        <v>523</v>
      </c>
      <c r="K21" s="59">
        <v>0.33400000000000002</v>
      </c>
      <c r="L21" s="59">
        <v>25</v>
      </c>
      <c r="M21" s="59">
        <v>0.9</v>
      </c>
      <c r="N21" s="59">
        <v>18.899999999999999</v>
      </c>
      <c r="O21" s="84">
        <v>-0.3</v>
      </c>
      <c r="P21" s="530"/>
      <c r="Q21" s="85">
        <v>38.6</v>
      </c>
      <c r="R21" s="86">
        <v>1.4</v>
      </c>
      <c r="S21" s="86">
        <v>29.2</v>
      </c>
      <c r="T21" s="87">
        <v>0.54700000000000004</v>
      </c>
    </row>
    <row r="22" spans="1:20">
      <c r="A22" s="58">
        <v>5</v>
      </c>
      <c r="B22" s="78">
        <v>3.5999999999999997E-2</v>
      </c>
      <c r="C22" s="530"/>
      <c r="D22" s="79">
        <v>885</v>
      </c>
      <c r="E22" s="80">
        <v>332</v>
      </c>
      <c r="F22" s="59">
        <v>47.4</v>
      </c>
      <c r="G22" s="59">
        <v>1.7</v>
      </c>
      <c r="H22" s="59">
        <v>35.9</v>
      </c>
      <c r="I22" s="530"/>
      <c r="J22" s="81">
        <v>726</v>
      </c>
      <c r="K22" s="59">
        <v>0.32600000000000001</v>
      </c>
      <c r="L22" s="59">
        <v>33.799999999999997</v>
      </c>
      <c r="M22" s="59">
        <v>1.2</v>
      </c>
      <c r="N22" s="59">
        <v>25.6</v>
      </c>
      <c r="O22" s="84">
        <v>-0.28999999999999998</v>
      </c>
      <c r="P22" s="530"/>
      <c r="Q22" s="85">
        <v>52.5</v>
      </c>
      <c r="R22" s="86">
        <v>1.9</v>
      </c>
      <c r="S22" s="86">
        <v>39.700000000000003</v>
      </c>
      <c r="T22" s="87">
        <v>0.55300000000000005</v>
      </c>
    </row>
    <row r="23" spans="1:20">
      <c r="A23" s="58">
        <v>6</v>
      </c>
      <c r="B23" s="78">
        <v>1.4999999999999999E-2</v>
      </c>
      <c r="C23" s="530"/>
      <c r="D23" s="79">
        <v>1109</v>
      </c>
      <c r="E23" s="80">
        <v>419</v>
      </c>
      <c r="F23" s="59">
        <v>59.9</v>
      </c>
      <c r="G23" s="59">
        <v>0.9</v>
      </c>
      <c r="H23" s="59">
        <v>18.899999999999999</v>
      </c>
      <c r="I23" s="530"/>
      <c r="J23" s="81">
        <v>959</v>
      </c>
      <c r="K23" s="59">
        <v>0.317</v>
      </c>
      <c r="L23" s="59">
        <v>43.4</v>
      </c>
      <c r="M23" s="59">
        <v>0.7</v>
      </c>
      <c r="N23" s="59">
        <v>13.7</v>
      </c>
      <c r="O23" s="84">
        <v>-0.27</v>
      </c>
      <c r="P23" s="530"/>
      <c r="Q23" s="85">
        <v>62.1</v>
      </c>
      <c r="R23" s="86">
        <v>0.9</v>
      </c>
      <c r="S23" s="86">
        <v>19.600000000000001</v>
      </c>
      <c r="T23" s="87">
        <v>0.43</v>
      </c>
    </row>
    <row r="24" spans="1:20">
      <c r="A24" s="58">
        <v>7</v>
      </c>
      <c r="B24" s="78">
        <v>2E-3</v>
      </c>
      <c r="C24" s="530"/>
      <c r="D24" s="79">
        <v>1372</v>
      </c>
      <c r="E24" s="80">
        <v>529</v>
      </c>
      <c r="F24" s="59">
        <v>75.599999999999994</v>
      </c>
      <c r="G24" s="59">
        <v>0.2</v>
      </c>
      <c r="H24" s="59">
        <v>3.2</v>
      </c>
      <c r="I24" s="530"/>
      <c r="J24" s="81">
        <v>1273</v>
      </c>
      <c r="K24" s="59">
        <v>0.318</v>
      </c>
      <c r="L24" s="59">
        <v>57.8</v>
      </c>
      <c r="M24" s="59">
        <v>0.1</v>
      </c>
      <c r="N24" s="59">
        <v>2.4</v>
      </c>
      <c r="O24" s="84">
        <v>-0.23</v>
      </c>
      <c r="P24" s="530"/>
      <c r="Q24" s="85">
        <v>76</v>
      </c>
      <c r="R24" s="86">
        <v>0.2</v>
      </c>
      <c r="S24" s="86">
        <v>3.2</v>
      </c>
      <c r="T24" s="87">
        <v>0.314</v>
      </c>
    </row>
    <row r="25" spans="1:20">
      <c r="A25" s="58">
        <v>8</v>
      </c>
      <c r="B25" s="78">
        <v>8.0000000000000002E-3</v>
      </c>
      <c r="C25" s="530"/>
      <c r="D25" s="79">
        <v>1586</v>
      </c>
      <c r="E25" s="80">
        <v>630</v>
      </c>
      <c r="F25" s="59">
        <v>90</v>
      </c>
      <c r="G25" s="88">
        <v>0.7</v>
      </c>
      <c r="H25" s="88">
        <v>15.1</v>
      </c>
      <c r="I25" s="530"/>
      <c r="J25" s="89">
        <v>1497</v>
      </c>
      <c r="K25" s="90">
        <v>0.32600000000000001</v>
      </c>
      <c r="L25" s="90">
        <v>69.7</v>
      </c>
      <c r="M25" s="90">
        <v>0.6</v>
      </c>
      <c r="N25" s="90">
        <v>11.7</v>
      </c>
      <c r="O25" s="91">
        <v>-0.23</v>
      </c>
      <c r="P25" s="530"/>
      <c r="Q25" s="85">
        <v>92.6</v>
      </c>
      <c r="R25" s="92">
        <v>0.7</v>
      </c>
      <c r="S25" s="92">
        <v>15.6</v>
      </c>
      <c r="T25" s="93">
        <v>0.32800000000000001</v>
      </c>
    </row>
    <row r="26" spans="1:20">
      <c r="A26" s="530" t="s">
        <v>161</v>
      </c>
      <c r="B26" s="94">
        <v>0.1</v>
      </c>
      <c r="C26" s="530"/>
      <c r="D26" s="530"/>
      <c r="E26" s="530"/>
      <c r="F26" s="530" t="s">
        <v>162</v>
      </c>
      <c r="G26" s="95">
        <v>10.8</v>
      </c>
      <c r="H26" s="96">
        <v>225.9</v>
      </c>
      <c r="I26" s="530"/>
      <c r="J26" s="530"/>
      <c r="K26" s="530"/>
      <c r="L26" s="530" t="s">
        <v>162</v>
      </c>
      <c r="M26" s="97">
        <v>7.8</v>
      </c>
      <c r="N26" s="98">
        <v>163.80000000000001</v>
      </c>
      <c r="O26" s="99">
        <v>-0.28000000000000003</v>
      </c>
      <c r="P26" s="530"/>
      <c r="Q26" s="100"/>
      <c r="R26" s="101">
        <v>11.1</v>
      </c>
      <c r="S26" s="102">
        <v>232.2</v>
      </c>
      <c r="T26" s="103">
        <v>0.41799999999999998</v>
      </c>
    </row>
    <row r="27" spans="1:20">
      <c r="A27" s="530"/>
      <c r="B27" s="530"/>
      <c r="C27" s="530"/>
      <c r="D27" s="530"/>
      <c r="E27" s="530"/>
      <c r="F27" s="530"/>
      <c r="G27" s="530"/>
      <c r="H27" s="530"/>
      <c r="I27" s="530"/>
      <c r="J27" s="530"/>
      <c r="K27" s="530"/>
      <c r="L27" s="530"/>
      <c r="M27" s="530"/>
      <c r="N27" s="104" t="s">
        <v>163</v>
      </c>
      <c r="O27" s="105">
        <v>-0.14000000000000001</v>
      </c>
      <c r="P27" s="530"/>
      <c r="Q27" s="530"/>
      <c r="R27" s="530"/>
      <c r="S27" s="530"/>
      <c r="T27" s="530"/>
    </row>
    <row r="28" spans="1:20">
      <c r="A28" s="104" t="s">
        <v>164</v>
      </c>
      <c r="B28" s="106"/>
      <c r="C28" s="106"/>
      <c r="D28" s="530"/>
      <c r="E28" s="530"/>
      <c r="F28" s="530"/>
      <c r="G28" s="530"/>
      <c r="H28" s="530"/>
      <c r="I28" s="530"/>
      <c r="J28" s="530"/>
      <c r="K28" s="530"/>
      <c r="L28" s="530"/>
      <c r="M28" s="530"/>
      <c r="N28" s="530"/>
      <c r="O28" s="530"/>
      <c r="P28" s="530"/>
      <c r="Q28" s="530"/>
      <c r="R28" s="530"/>
      <c r="S28" s="530"/>
      <c r="T28" s="530"/>
    </row>
    <row r="29" spans="1:20" ht="45">
      <c r="A29" s="107" t="s">
        <v>165</v>
      </c>
      <c r="B29" s="108" t="s">
        <v>166</v>
      </c>
      <c r="C29" s="108" t="s">
        <v>167</v>
      </c>
      <c r="D29" s="108" t="s">
        <v>168</v>
      </c>
      <c r="E29" s="108" t="s">
        <v>169</v>
      </c>
      <c r="F29" s="108" t="s">
        <v>170</v>
      </c>
      <c r="G29" s="108" t="s">
        <v>171</v>
      </c>
      <c r="H29" s="530"/>
      <c r="I29" s="530"/>
      <c r="J29" s="530"/>
      <c r="K29" s="530"/>
      <c r="L29" s="530"/>
      <c r="M29" s="530"/>
      <c r="N29" s="530"/>
      <c r="O29" s="530"/>
      <c r="P29" s="530"/>
      <c r="Q29" s="530"/>
      <c r="R29" s="530"/>
      <c r="S29" s="530"/>
      <c r="T29" s="530"/>
    </row>
    <row r="30" spans="1:20">
      <c r="A30" s="109" t="s">
        <v>172</v>
      </c>
      <c r="B30" s="59">
        <v>62.1</v>
      </c>
      <c r="C30" s="59">
        <v>300</v>
      </c>
      <c r="D30" s="110">
        <v>18643</v>
      </c>
      <c r="E30" s="111">
        <v>3</v>
      </c>
      <c r="F30" s="112">
        <v>55928</v>
      </c>
      <c r="G30" s="112">
        <v>838914</v>
      </c>
      <c r="H30" s="113" t="s">
        <v>173</v>
      </c>
      <c r="I30" s="530"/>
      <c r="J30" s="530"/>
      <c r="K30" s="530"/>
      <c r="L30" s="530"/>
      <c r="M30" s="530"/>
      <c r="N30" s="530"/>
      <c r="O30" s="530"/>
      <c r="P30" s="530"/>
      <c r="Q30" s="530"/>
      <c r="R30" s="530"/>
      <c r="S30" s="530"/>
      <c r="T30" s="530"/>
    </row>
    <row r="31" spans="1:20">
      <c r="A31" s="76" t="s">
        <v>174</v>
      </c>
      <c r="B31" s="59">
        <v>68.5</v>
      </c>
      <c r="C31" s="59">
        <v>300</v>
      </c>
      <c r="D31" s="110">
        <v>20539</v>
      </c>
      <c r="E31" s="111">
        <v>3</v>
      </c>
      <c r="F31" s="112">
        <v>61616</v>
      </c>
      <c r="G31" s="112">
        <v>924240</v>
      </c>
      <c r="H31" s="113" t="s">
        <v>173</v>
      </c>
      <c r="I31" s="530"/>
      <c r="J31" s="530"/>
      <c r="K31" s="530"/>
      <c r="L31" s="530"/>
      <c r="M31" s="530"/>
      <c r="N31" s="530"/>
      <c r="O31" s="530"/>
      <c r="P31" s="530"/>
      <c r="Q31" s="530"/>
      <c r="R31" s="530"/>
      <c r="S31" s="530"/>
      <c r="T31" s="530"/>
    </row>
    <row r="32" spans="1:20">
      <c r="A32" s="57"/>
      <c r="B32" s="114"/>
      <c r="C32" s="114"/>
      <c r="D32" s="114"/>
      <c r="E32" s="114"/>
      <c r="F32" s="114"/>
      <c r="G32" s="114"/>
      <c r="H32" s="530"/>
      <c r="I32" s="530"/>
      <c r="J32" s="530"/>
      <c r="K32" s="530"/>
      <c r="L32" s="530"/>
      <c r="M32" s="530"/>
      <c r="N32" s="530"/>
      <c r="O32" s="530"/>
      <c r="P32" s="530"/>
      <c r="Q32" s="530"/>
      <c r="R32" s="530"/>
      <c r="S32" s="530"/>
      <c r="T32" s="530"/>
    </row>
    <row r="33" spans="1:20">
      <c r="A33" s="57"/>
      <c r="B33" s="530"/>
      <c r="C33" s="530"/>
      <c r="D33" s="530"/>
      <c r="E33" s="530"/>
      <c r="F33" s="530"/>
      <c r="G33" s="530"/>
      <c r="H33" s="530"/>
      <c r="I33" s="530"/>
      <c r="J33" s="530"/>
      <c r="K33" s="530"/>
      <c r="L33" s="530"/>
      <c r="M33" s="530"/>
      <c r="N33" s="530"/>
      <c r="O33" s="530"/>
      <c r="P33" s="530"/>
      <c r="Q33" s="530"/>
      <c r="R33" s="530"/>
      <c r="S33" s="530"/>
      <c r="T33" s="530"/>
    </row>
    <row r="34" spans="1:20" ht="18.75">
      <c r="A34" s="53" t="s">
        <v>175</v>
      </c>
      <c r="B34" s="54"/>
      <c r="C34" s="54"/>
      <c r="D34" s="54"/>
      <c r="E34" s="54"/>
      <c r="F34" s="530"/>
      <c r="G34" s="530"/>
      <c r="H34" s="530"/>
      <c r="I34" s="530"/>
      <c r="J34" s="530"/>
      <c r="K34" s="530"/>
      <c r="L34" s="530"/>
      <c r="M34" s="530"/>
      <c r="N34" s="530"/>
      <c r="O34" s="530"/>
      <c r="P34" s="530"/>
      <c r="Q34" s="530"/>
      <c r="R34" s="530"/>
      <c r="S34" s="530"/>
      <c r="T34" s="530"/>
    </row>
    <row r="35" spans="1:20">
      <c r="A35" s="57"/>
      <c r="B35" s="530"/>
      <c r="C35" s="530"/>
      <c r="D35" s="530"/>
      <c r="E35" s="530"/>
      <c r="F35" s="57"/>
      <c r="G35" s="57"/>
      <c r="H35" s="530"/>
      <c r="I35" s="530"/>
      <c r="J35" s="530"/>
      <c r="K35" s="530"/>
      <c r="L35" s="530"/>
      <c r="M35" s="530"/>
      <c r="N35" s="530"/>
      <c r="O35" s="530"/>
      <c r="P35" s="530"/>
      <c r="Q35" s="530"/>
      <c r="R35" s="530"/>
      <c r="S35" s="530"/>
      <c r="T35" s="530"/>
    </row>
    <row r="36" spans="1:20">
      <c r="A36" s="115" t="s">
        <v>176</v>
      </c>
      <c r="B36" s="116" t="s">
        <v>21</v>
      </c>
      <c r="C36" s="116" t="s">
        <v>21</v>
      </c>
      <c r="D36" s="116" t="s">
        <v>21</v>
      </c>
      <c r="E36" s="116" t="s">
        <v>21</v>
      </c>
      <c r="F36" s="116" t="s">
        <v>21</v>
      </c>
      <c r="G36" s="116" t="s">
        <v>21</v>
      </c>
      <c r="H36" s="117" t="s">
        <v>21</v>
      </c>
      <c r="I36" s="530"/>
      <c r="J36" s="530"/>
      <c r="K36" s="530"/>
      <c r="L36" s="530"/>
      <c r="M36" s="530"/>
      <c r="N36" s="530"/>
      <c r="O36" s="530"/>
      <c r="P36" s="530"/>
      <c r="Q36" s="530"/>
      <c r="R36" s="530"/>
      <c r="S36" s="530"/>
      <c r="T36" s="530"/>
    </row>
    <row r="37" spans="1:20" ht="15" customHeight="1">
      <c r="A37" s="118" t="s">
        <v>177</v>
      </c>
      <c r="B37" s="108" t="s">
        <v>178</v>
      </c>
      <c r="C37" s="108" t="s">
        <v>179</v>
      </c>
      <c r="D37" s="108" t="s">
        <v>180</v>
      </c>
      <c r="E37" s="108" t="s">
        <v>152</v>
      </c>
      <c r="F37" s="108" t="s">
        <v>181</v>
      </c>
      <c r="G37" s="531" t="s">
        <v>155</v>
      </c>
      <c r="H37" s="553" t="s">
        <v>182</v>
      </c>
      <c r="I37" s="530"/>
      <c r="J37" s="530"/>
      <c r="K37" s="530"/>
      <c r="L37" s="530"/>
      <c r="M37" s="530"/>
      <c r="N37" s="530"/>
      <c r="O37" s="530"/>
      <c r="P37" s="530"/>
      <c r="Q37" s="530"/>
      <c r="R37" s="530"/>
      <c r="S37" s="530"/>
      <c r="T37" s="530"/>
    </row>
    <row r="38" spans="1:20">
      <c r="A38" s="119">
        <v>49</v>
      </c>
      <c r="B38" s="59">
        <v>2.9999999999999997E-4</v>
      </c>
      <c r="C38" s="120">
        <v>1500</v>
      </c>
      <c r="D38" s="121">
        <v>0.1</v>
      </c>
      <c r="E38" s="59">
        <v>4.4999999999999998E-2</v>
      </c>
      <c r="F38" s="59">
        <v>0.01</v>
      </c>
      <c r="G38" s="59">
        <v>0.13</v>
      </c>
      <c r="H38" s="553"/>
      <c r="I38" s="530"/>
      <c r="J38" s="530"/>
      <c r="K38" s="530"/>
      <c r="L38" s="530"/>
      <c r="M38" s="530"/>
      <c r="N38" s="530"/>
      <c r="O38" s="530"/>
      <c r="P38" s="530"/>
      <c r="Q38" s="530"/>
      <c r="R38" s="530"/>
      <c r="S38" s="530"/>
      <c r="T38" s="530"/>
    </row>
    <row r="39" spans="1:20">
      <c r="A39" s="122" t="s">
        <v>21</v>
      </c>
      <c r="B39" s="123" t="s">
        <v>21</v>
      </c>
      <c r="C39" s="123" t="s">
        <v>21</v>
      </c>
      <c r="D39" s="123" t="s">
        <v>21</v>
      </c>
      <c r="E39" s="123" t="s">
        <v>21</v>
      </c>
      <c r="F39" s="123" t="s">
        <v>21</v>
      </c>
      <c r="G39" s="123" t="s">
        <v>21</v>
      </c>
      <c r="H39" s="553"/>
      <c r="I39" s="530"/>
      <c r="J39" s="530"/>
      <c r="K39" s="530"/>
      <c r="L39" s="530"/>
      <c r="M39" s="530"/>
      <c r="N39" s="530"/>
      <c r="O39" s="530"/>
      <c r="P39" s="530"/>
      <c r="Q39" s="530"/>
      <c r="R39" s="530"/>
      <c r="S39" s="530"/>
      <c r="T39" s="530"/>
    </row>
    <row r="40" spans="1:20">
      <c r="A40" s="124" t="s">
        <v>183</v>
      </c>
      <c r="B40" s="125"/>
      <c r="C40" s="123" t="s">
        <v>21</v>
      </c>
      <c r="D40" s="123" t="s">
        <v>21</v>
      </c>
      <c r="E40" s="123" t="s">
        <v>21</v>
      </c>
      <c r="F40" s="123" t="s">
        <v>21</v>
      </c>
      <c r="G40" s="123" t="s">
        <v>21</v>
      </c>
      <c r="H40" s="553"/>
      <c r="I40" s="530"/>
      <c r="J40" s="530"/>
      <c r="K40" s="530"/>
      <c r="L40" s="530"/>
      <c r="M40" s="530"/>
      <c r="N40" s="530"/>
      <c r="O40" s="530"/>
      <c r="P40" s="530"/>
      <c r="Q40" s="530"/>
      <c r="R40" s="530"/>
      <c r="S40" s="530"/>
      <c r="T40" s="530"/>
    </row>
    <row r="41" spans="1:20">
      <c r="A41" s="126" t="s">
        <v>184</v>
      </c>
      <c r="B41" s="531" t="s">
        <v>185</v>
      </c>
      <c r="C41" s="127" t="s">
        <v>21</v>
      </c>
      <c r="D41" s="127" t="s">
        <v>21</v>
      </c>
      <c r="E41" s="128" t="s">
        <v>21</v>
      </c>
      <c r="F41" s="531" t="s">
        <v>181</v>
      </c>
      <c r="G41" s="531" t="s">
        <v>186</v>
      </c>
      <c r="H41" s="553"/>
      <c r="I41" s="530"/>
      <c r="J41" s="530"/>
      <c r="K41" s="530"/>
      <c r="L41" s="530"/>
      <c r="M41" s="530"/>
      <c r="N41" s="530"/>
      <c r="O41" s="530"/>
      <c r="P41" s="530"/>
      <c r="Q41" s="530"/>
      <c r="R41" s="530"/>
      <c r="S41" s="530"/>
      <c r="T41" s="530"/>
    </row>
    <row r="42" spans="1:20">
      <c r="A42" s="89">
        <v>6.25E-2</v>
      </c>
      <c r="B42" s="129">
        <v>12</v>
      </c>
      <c r="C42" s="130" t="s">
        <v>21</v>
      </c>
      <c r="D42" s="130" t="s">
        <v>21</v>
      </c>
      <c r="E42" s="130" t="s">
        <v>21</v>
      </c>
      <c r="F42" s="90">
        <v>0.8</v>
      </c>
      <c r="G42" s="90">
        <v>15.8</v>
      </c>
      <c r="H42" s="554"/>
      <c r="I42" s="530"/>
      <c r="J42" s="530"/>
      <c r="K42" s="530"/>
      <c r="L42" s="530"/>
      <c r="M42" s="530"/>
      <c r="N42" s="530"/>
      <c r="O42" s="530"/>
      <c r="P42" s="530"/>
      <c r="Q42" s="530"/>
      <c r="R42" s="530"/>
      <c r="S42" s="530"/>
      <c r="T42" s="530"/>
    </row>
    <row r="43" spans="1:20">
      <c r="A43" s="530"/>
      <c r="B43" s="530"/>
      <c r="C43" s="530"/>
      <c r="D43" s="530"/>
      <c r="E43" s="530"/>
      <c r="F43" s="530"/>
      <c r="G43" s="530"/>
      <c r="H43" s="530"/>
      <c r="I43" s="530"/>
      <c r="J43" s="530"/>
      <c r="K43" s="530"/>
      <c r="L43" s="530"/>
      <c r="M43" s="530"/>
      <c r="N43" s="530"/>
      <c r="O43" s="530"/>
      <c r="P43" s="530"/>
      <c r="Q43" s="530"/>
      <c r="R43" s="530"/>
      <c r="S43" s="530"/>
      <c r="T43" s="530"/>
    </row>
    <row r="44" spans="1:20">
      <c r="A44" s="131" t="s">
        <v>176</v>
      </c>
      <c r="B44" s="116" t="s">
        <v>21</v>
      </c>
      <c r="C44" s="116" t="s">
        <v>21</v>
      </c>
      <c r="D44" s="116" t="s">
        <v>21</v>
      </c>
      <c r="E44" s="116" t="s">
        <v>21</v>
      </c>
      <c r="F44" s="116" t="s">
        <v>21</v>
      </c>
      <c r="G44" s="116" t="s">
        <v>21</v>
      </c>
      <c r="H44" s="555" t="s">
        <v>187</v>
      </c>
      <c r="I44" s="530"/>
      <c r="J44" s="530"/>
      <c r="K44" s="530"/>
      <c r="L44" s="530"/>
      <c r="M44" s="530"/>
      <c r="N44" s="530"/>
      <c r="O44" s="530"/>
      <c r="P44" s="530"/>
      <c r="Q44" s="530"/>
      <c r="R44" s="530"/>
      <c r="S44" s="530"/>
      <c r="T44" s="530"/>
    </row>
    <row r="45" spans="1:20" ht="45">
      <c r="A45" s="118" t="s">
        <v>21</v>
      </c>
      <c r="B45" s="108" t="s">
        <v>188</v>
      </c>
      <c r="C45" s="108" t="s">
        <v>189</v>
      </c>
      <c r="D45" s="108" t="s">
        <v>190</v>
      </c>
      <c r="E45" s="108" t="s">
        <v>191</v>
      </c>
      <c r="F45" s="108" t="s">
        <v>192</v>
      </c>
      <c r="G45" s="108" t="s">
        <v>193</v>
      </c>
      <c r="H45" s="553"/>
      <c r="I45" s="530"/>
      <c r="J45" s="530"/>
      <c r="K45" s="530"/>
      <c r="L45" s="530"/>
      <c r="M45" s="530"/>
      <c r="N45" s="530"/>
      <c r="O45" s="530"/>
      <c r="P45" s="530"/>
      <c r="Q45" s="530"/>
      <c r="R45" s="530"/>
      <c r="S45" s="530"/>
      <c r="T45" s="530"/>
    </row>
    <row r="46" spans="1:20">
      <c r="A46" s="74" t="s">
        <v>194</v>
      </c>
      <c r="B46" s="59">
        <v>0.13</v>
      </c>
      <c r="C46" s="59">
        <v>300</v>
      </c>
      <c r="D46" s="59">
        <v>39</v>
      </c>
      <c r="E46" s="111">
        <v>15</v>
      </c>
      <c r="F46" s="132">
        <v>583</v>
      </c>
      <c r="G46" s="132">
        <v>8738</v>
      </c>
      <c r="H46" s="553"/>
      <c r="I46" s="530"/>
      <c r="J46" s="530"/>
      <c r="K46" s="530"/>
      <c r="L46" s="530"/>
      <c r="M46" s="530"/>
      <c r="N46" s="530"/>
      <c r="O46" s="530"/>
      <c r="P46" s="530"/>
      <c r="Q46" s="530"/>
      <c r="R46" s="530"/>
      <c r="S46" s="530"/>
      <c r="T46" s="530"/>
    </row>
    <row r="47" spans="1:20">
      <c r="A47" s="74" t="s">
        <v>195</v>
      </c>
      <c r="B47" s="59" t="s">
        <v>21</v>
      </c>
      <c r="C47" s="59">
        <v>300</v>
      </c>
      <c r="D47" s="59">
        <v>196</v>
      </c>
      <c r="E47" s="111">
        <v>15</v>
      </c>
      <c r="F47" s="132">
        <v>2940</v>
      </c>
      <c r="G47" s="132">
        <v>44100</v>
      </c>
      <c r="H47" s="553"/>
      <c r="I47" s="530"/>
      <c r="J47" s="530"/>
      <c r="K47" s="530"/>
      <c r="L47" s="530"/>
      <c r="M47" s="530"/>
      <c r="N47" s="530"/>
      <c r="O47" s="530"/>
      <c r="P47" s="530"/>
      <c r="Q47" s="530"/>
      <c r="R47" s="530"/>
      <c r="S47" s="530"/>
      <c r="T47" s="530"/>
    </row>
    <row r="48" spans="1:20">
      <c r="A48" s="133" t="s">
        <v>21</v>
      </c>
      <c r="B48" s="123" t="s">
        <v>21</v>
      </c>
      <c r="C48" s="123" t="s">
        <v>21</v>
      </c>
      <c r="D48" s="123" t="s">
        <v>21</v>
      </c>
      <c r="E48" s="123" t="s">
        <v>196</v>
      </c>
      <c r="F48" s="134">
        <v>3523</v>
      </c>
      <c r="G48" s="135">
        <v>52838</v>
      </c>
      <c r="H48" s="553"/>
      <c r="I48" s="530"/>
      <c r="J48" s="530"/>
      <c r="K48" s="530"/>
      <c r="L48" s="530"/>
      <c r="M48" s="530"/>
      <c r="N48" s="530"/>
      <c r="O48" s="530"/>
      <c r="P48" s="530"/>
      <c r="Q48" s="530"/>
      <c r="R48" s="530"/>
      <c r="S48" s="530"/>
      <c r="T48" s="530"/>
    </row>
    <row r="49" spans="1:20">
      <c r="A49" s="133" t="s">
        <v>21</v>
      </c>
      <c r="B49" s="123" t="s">
        <v>21</v>
      </c>
      <c r="C49" s="123" t="s">
        <v>21</v>
      </c>
      <c r="D49" s="123" t="s">
        <v>21</v>
      </c>
      <c r="E49" s="123" t="s">
        <v>21</v>
      </c>
      <c r="F49" s="136" t="s">
        <v>21</v>
      </c>
      <c r="G49" s="136" t="s">
        <v>21</v>
      </c>
      <c r="H49" s="553"/>
      <c r="I49" s="530"/>
      <c r="J49" s="530"/>
      <c r="K49" s="530"/>
      <c r="L49" s="530"/>
      <c r="M49" s="530"/>
      <c r="N49" s="530"/>
      <c r="O49" s="530"/>
      <c r="P49" s="530"/>
      <c r="Q49" s="530"/>
      <c r="R49" s="530"/>
      <c r="S49" s="530"/>
      <c r="T49" s="530"/>
    </row>
    <row r="50" spans="1:20">
      <c r="A50" s="124" t="s">
        <v>197</v>
      </c>
      <c r="B50" s="123" t="s">
        <v>21</v>
      </c>
      <c r="C50" s="123" t="s">
        <v>21</v>
      </c>
      <c r="D50" s="123" t="s">
        <v>21</v>
      </c>
      <c r="E50" s="123" t="s">
        <v>21</v>
      </c>
      <c r="F50" s="123" t="s">
        <v>21</v>
      </c>
      <c r="G50" s="123" t="s">
        <v>21</v>
      </c>
      <c r="H50" s="553"/>
      <c r="I50" s="530"/>
      <c r="J50" s="530"/>
      <c r="K50" s="530"/>
      <c r="L50" s="530"/>
      <c r="M50" s="530"/>
      <c r="N50" s="530"/>
      <c r="O50" s="530"/>
      <c r="P50" s="530"/>
      <c r="Q50" s="530"/>
      <c r="R50" s="530"/>
      <c r="S50" s="530"/>
      <c r="T50" s="530"/>
    </row>
    <row r="51" spans="1:20" ht="45">
      <c r="A51" s="118" t="s">
        <v>198</v>
      </c>
      <c r="B51" s="108" t="s">
        <v>188</v>
      </c>
      <c r="C51" s="108" t="s">
        <v>189</v>
      </c>
      <c r="D51" s="108" t="s">
        <v>190</v>
      </c>
      <c r="E51" s="108" t="s">
        <v>199</v>
      </c>
      <c r="F51" s="108" t="s">
        <v>192</v>
      </c>
      <c r="G51" s="108" t="s">
        <v>193</v>
      </c>
      <c r="H51" s="553"/>
      <c r="I51" s="530"/>
      <c r="J51" s="530"/>
      <c r="K51" s="530"/>
      <c r="L51" s="530"/>
      <c r="M51" s="530"/>
      <c r="N51" s="530"/>
      <c r="O51" s="530"/>
      <c r="P51" s="530"/>
      <c r="Q51" s="530"/>
      <c r="R51" s="530"/>
      <c r="S51" s="530"/>
      <c r="T51" s="530"/>
    </row>
    <row r="52" spans="1:20">
      <c r="A52" s="74" t="s">
        <v>194</v>
      </c>
      <c r="B52" s="59">
        <v>15.75</v>
      </c>
      <c r="C52" s="59">
        <v>300</v>
      </c>
      <c r="D52" s="110">
        <v>4725</v>
      </c>
      <c r="E52" s="111">
        <v>5</v>
      </c>
      <c r="F52" s="132">
        <v>23625</v>
      </c>
      <c r="G52" s="132">
        <v>354375</v>
      </c>
      <c r="H52" s="553"/>
      <c r="I52" s="530"/>
      <c r="J52" s="530"/>
      <c r="K52" s="530"/>
      <c r="L52" s="530"/>
      <c r="M52" s="530"/>
      <c r="N52" s="530"/>
      <c r="O52" s="530"/>
      <c r="P52" s="530"/>
      <c r="Q52" s="530"/>
      <c r="R52" s="530"/>
      <c r="S52" s="530"/>
      <c r="T52" s="530"/>
    </row>
    <row r="53" spans="1:20">
      <c r="A53" s="74" t="s">
        <v>195</v>
      </c>
      <c r="B53" s="137" t="s">
        <v>21</v>
      </c>
      <c r="C53" s="137" t="s">
        <v>21</v>
      </c>
      <c r="D53" s="59">
        <v>0</v>
      </c>
      <c r="E53" s="111">
        <v>5</v>
      </c>
      <c r="F53" s="132">
        <v>0</v>
      </c>
      <c r="G53" s="132">
        <v>0</v>
      </c>
      <c r="H53" s="553"/>
      <c r="I53" s="530"/>
      <c r="J53" s="530"/>
      <c r="K53" s="530"/>
      <c r="L53" s="530"/>
      <c r="M53" s="530"/>
      <c r="N53" s="530"/>
      <c r="O53" s="530"/>
      <c r="P53" s="530"/>
      <c r="Q53" s="530"/>
      <c r="R53" s="530"/>
      <c r="S53" s="530"/>
      <c r="T53" s="530"/>
    </row>
    <row r="54" spans="1:20">
      <c r="A54" s="138" t="s">
        <v>21</v>
      </c>
      <c r="B54" s="139" t="s">
        <v>21</v>
      </c>
      <c r="C54" s="139" t="s">
        <v>21</v>
      </c>
      <c r="D54" s="139" t="s">
        <v>21</v>
      </c>
      <c r="E54" s="140" t="s">
        <v>196</v>
      </c>
      <c r="F54" s="141">
        <v>23625</v>
      </c>
      <c r="G54" s="142">
        <v>354375</v>
      </c>
      <c r="H54" s="554"/>
      <c r="I54" s="530"/>
      <c r="J54" s="530"/>
      <c r="K54" s="530"/>
      <c r="L54" s="530"/>
      <c r="M54" s="530"/>
      <c r="N54" s="530"/>
      <c r="O54" s="530"/>
      <c r="P54" s="530"/>
      <c r="Q54" s="530"/>
      <c r="R54" s="530"/>
      <c r="S54" s="530"/>
      <c r="T54" s="530"/>
    </row>
    <row r="55" spans="1:20">
      <c r="A55" s="136" t="s">
        <v>21</v>
      </c>
      <c r="B55" s="123" t="s">
        <v>21</v>
      </c>
      <c r="C55" s="123" t="s">
        <v>21</v>
      </c>
      <c r="D55" s="123" t="s">
        <v>21</v>
      </c>
      <c r="E55" s="123" t="s">
        <v>21</v>
      </c>
      <c r="F55" s="136" t="s">
        <v>21</v>
      </c>
      <c r="G55" s="136" t="s">
        <v>21</v>
      </c>
      <c r="H55" s="123" t="s">
        <v>21</v>
      </c>
      <c r="I55" s="530"/>
      <c r="J55" s="530"/>
      <c r="K55" s="530"/>
      <c r="L55" s="530"/>
      <c r="M55" s="530"/>
      <c r="N55" s="530"/>
      <c r="O55" s="530"/>
      <c r="P55" s="530"/>
      <c r="Q55" s="530"/>
      <c r="R55" s="530"/>
      <c r="S55" s="530"/>
      <c r="T55" s="530"/>
    </row>
    <row r="56" spans="1:20">
      <c r="A56" s="115" t="s">
        <v>200</v>
      </c>
      <c r="B56" s="143"/>
      <c r="C56" s="116" t="s">
        <v>21</v>
      </c>
      <c r="D56" s="116" t="s">
        <v>21</v>
      </c>
      <c r="E56" s="116" t="s">
        <v>21</v>
      </c>
      <c r="F56" s="144" t="s">
        <v>21</v>
      </c>
      <c r="G56" s="144" t="s">
        <v>21</v>
      </c>
      <c r="H56" s="555" t="s">
        <v>201</v>
      </c>
      <c r="I56" s="530"/>
      <c r="J56" s="530"/>
      <c r="K56" s="530"/>
      <c r="L56" s="530"/>
      <c r="M56" s="530"/>
      <c r="N56" s="530"/>
      <c r="O56" s="530"/>
      <c r="P56" s="530"/>
      <c r="Q56" s="530"/>
      <c r="R56" s="530"/>
      <c r="S56" s="530"/>
      <c r="T56" s="530"/>
    </row>
    <row r="57" spans="1:20" ht="45">
      <c r="A57" s="118" t="s">
        <v>21</v>
      </c>
      <c r="B57" s="108" t="s">
        <v>202</v>
      </c>
      <c r="C57" s="108" t="s">
        <v>189</v>
      </c>
      <c r="D57" s="108" t="s">
        <v>203</v>
      </c>
      <c r="E57" s="145" t="s">
        <v>21</v>
      </c>
      <c r="F57" s="108" t="s">
        <v>204</v>
      </c>
      <c r="G57" s="108" t="s">
        <v>205</v>
      </c>
      <c r="H57" s="553"/>
      <c r="I57" s="530"/>
      <c r="J57" s="530"/>
      <c r="K57" s="530"/>
      <c r="L57" s="530"/>
      <c r="M57" s="530"/>
      <c r="N57" s="530"/>
      <c r="O57" s="530"/>
      <c r="P57" s="530"/>
      <c r="Q57" s="530"/>
      <c r="R57" s="530"/>
      <c r="S57" s="530"/>
      <c r="T57" s="530"/>
    </row>
    <row r="58" spans="1:20" ht="30">
      <c r="A58" s="146" t="s">
        <v>201</v>
      </c>
      <c r="B58" s="90">
        <v>15.62</v>
      </c>
      <c r="C58" s="90">
        <v>300</v>
      </c>
      <c r="D58" s="147">
        <v>4490</v>
      </c>
      <c r="E58" s="130" t="s">
        <v>21</v>
      </c>
      <c r="F58" s="148">
        <v>20102</v>
      </c>
      <c r="G58" s="148">
        <v>301537</v>
      </c>
      <c r="H58" s="554"/>
      <c r="I58" s="530"/>
      <c r="J58" s="530"/>
      <c r="K58" s="530"/>
      <c r="L58" s="530"/>
      <c r="M58" s="530"/>
      <c r="N58" s="530"/>
      <c r="O58" s="530"/>
      <c r="P58" s="530"/>
      <c r="Q58" s="530"/>
      <c r="R58" s="530"/>
      <c r="S58" s="530"/>
      <c r="T58" s="530"/>
    </row>
    <row r="59" spans="1:20">
      <c r="A59" s="57"/>
      <c r="B59" s="530"/>
      <c r="C59" s="530"/>
      <c r="D59" s="530"/>
      <c r="E59" s="530"/>
      <c r="F59" s="57"/>
      <c r="G59" s="57"/>
      <c r="H59" s="530"/>
      <c r="I59" s="530"/>
      <c r="J59" s="530"/>
      <c r="K59" s="530"/>
      <c r="L59" s="530"/>
      <c r="M59" s="530"/>
      <c r="N59" s="530"/>
      <c r="O59" s="530"/>
      <c r="P59" s="530"/>
      <c r="Q59" s="530"/>
      <c r="R59" s="530"/>
      <c r="S59" s="530"/>
      <c r="T59" s="530"/>
    </row>
    <row r="60" spans="1:20">
      <c r="A60" s="57"/>
      <c r="B60" s="530"/>
      <c r="C60" s="530"/>
      <c r="D60" s="530"/>
      <c r="E60" s="530"/>
      <c r="F60" s="57"/>
      <c r="G60" s="57"/>
      <c r="H60" s="530"/>
      <c r="I60" s="530"/>
      <c r="J60" s="530"/>
      <c r="K60" s="530"/>
      <c r="L60" s="530"/>
      <c r="M60" s="530"/>
      <c r="N60" s="530"/>
      <c r="O60" s="530"/>
      <c r="P60" s="530"/>
      <c r="Q60" s="530"/>
      <c r="R60" s="530"/>
      <c r="S60" s="530"/>
      <c r="T60" s="530"/>
    </row>
    <row r="61" spans="1:20">
      <c r="A61" s="530"/>
      <c r="B61" s="530"/>
      <c r="C61" s="530"/>
      <c r="D61" s="530"/>
      <c r="E61" s="530"/>
      <c r="F61" s="530"/>
      <c r="G61" s="530"/>
      <c r="H61" s="530"/>
      <c r="I61" s="530"/>
      <c r="J61" s="530"/>
      <c r="K61" s="530"/>
      <c r="L61" s="530"/>
      <c r="M61" s="530"/>
      <c r="N61" s="530"/>
      <c r="O61" s="530"/>
      <c r="P61" s="530"/>
      <c r="Q61" s="530"/>
      <c r="R61" s="530"/>
      <c r="S61" s="530"/>
      <c r="T61" s="530"/>
    </row>
    <row r="62" spans="1:20">
      <c r="A62" s="149"/>
      <c r="B62" s="530"/>
      <c r="C62" s="530"/>
      <c r="D62" s="530"/>
      <c r="E62" s="530"/>
      <c r="F62" s="530"/>
      <c r="G62" s="530"/>
      <c r="H62" s="530"/>
      <c r="I62" s="530"/>
      <c r="J62" s="530"/>
      <c r="K62" s="530"/>
      <c r="L62" s="530"/>
      <c r="M62" s="530"/>
      <c r="N62" s="530"/>
      <c r="O62" s="530"/>
      <c r="P62" s="530"/>
      <c r="Q62" s="530"/>
      <c r="R62" s="530"/>
      <c r="S62" s="530"/>
      <c r="T62" s="530"/>
    </row>
    <row r="63" spans="1:20">
      <c r="A63" s="530"/>
      <c r="B63" s="530"/>
      <c r="C63" s="530"/>
      <c r="D63" s="530"/>
      <c r="E63" s="530"/>
      <c r="F63" s="530"/>
      <c r="G63" s="530"/>
      <c r="H63" s="530"/>
      <c r="I63" s="530"/>
      <c r="J63" s="530"/>
      <c r="K63" s="530"/>
      <c r="L63" s="530"/>
      <c r="M63" s="530"/>
      <c r="N63" s="530"/>
      <c r="O63" s="530"/>
      <c r="P63" s="530"/>
      <c r="Q63" s="530"/>
      <c r="R63" s="530"/>
      <c r="S63" s="530"/>
      <c r="T63" s="530"/>
    </row>
    <row r="64" spans="1:20">
      <c r="A64" s="530"/>
      <c r="B64" s="530"/>
      <c r="C64" s="530"/>
      <c r="D64" s="530"/>
      <c r="E64" s="530"/>
      <c r="F64" s="530"/>
      <c r="G64" s="530"/>
      <c r="H64" s="530"/>
      <c r="I64" s="530"/>
      <c r="J64" s="530"/>
      <c r="K64" s="530"/>
      <c r="L64" s="530"/>
      <c r="M64" s="530"/>
      <c r="N64" s="530"/>
      <c r="O64" s="530"/>
      <c r="P64" s="530"/>
      <c r="Q64" s="530"/>
      <c r="R64" s="530"/>
      <c r="S64" s="530"/>
      <c r="T64" s="530"/>
    </row>
    <row r="65" spans="1:20">
      <c r="A65" s="530"/>
      <c r="B65" s="530"/>
      <c r="C65" s="530"/>
      <c r="D65" s="530"/>
      <c r="E65" s="530"/>
      <c r="F65" s="530"/>
      <c r="G65" s="530"/>
      <c r="H65" s="530"/>
      <c r="I65" s="530"/>
      <c r="J65" s="530"/>
      <c r="K65" s="530"/>
      <c r="L65" s="530"/>
      <c r="M65" s="530"/>
      <c r="N65" s="530"/>
      <c r="O65" s="530"/>
      <c r="P65" s="530"/>
      <c r="Q65" s="530"/>
      <c r="R65" s="530"/>
      <c r="S65" s="530"/>
      <c r="T65" s="530"/>
    </row>
  </sheetData>
  <mergeCells count="8">
    <mergeCell ref="J14:O14"/>
    <mergeCell ref="Q14:T14"/>
    <mergeCell ref="H37:H42"/>
    <mergeCell ref="H44:H54"/>
    <mergeCell ref="H56:H58"/>
    <mergeCell ref="D6:I7"/>
    <mergeCell ref="A14:B14"/>
    <mergeCell ref="D14:H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T61"/>
  <sheetViews>
    <sheetView workbookViewId="0">
      <selection activeCell="M29" sqref="M29"/>
    </sheetView>
  </sheetViews>
  <sheetFormatPr defaultRowHeight="15"/>
  <cols>
    <col min="7" max="7" width="10.85546875" customWidth="1"/>
  </cols>
  <sheetData>
    <row r="1" spans="1:20" ht="15" customHeight="1">
      <c r="A1" s="150" t="s">
        <v>118</v>
      </c>
      <c r="B1" s="532"/>
      <c r="C1" s="532"/>
      <c r="D1" s="532"/>
      <c r="E1" s="150" t="s">
        <v>206</v>
      </c>
      <c r="F1" s="532"/>
      <c r="G1" s="150" t="s">
        <v>207</v>
      </c>
      <c r="H1" s="532"/>
      <c r="I1" s="568"/>
      <c r="J1" s="568"/>
      <c r="K1" s="532"/>
      <c r="L1" s="532"/>
      <c r="M1" s="532"/>
      <c r="N1" s="532"/>
      <c r="O1" s="532"/>
      <c r="P1" s="568"/>
      <c r="Q1" s="568"/>
      <c r="R1" s="532"/>
      <c r="S1" s="532"/>
      <c r="T1" s="532"/>
    </row>
    <row r="2" spans="1:20" ht="15" customHeight="1">
      <c r="A2" s="150" t="s">
        <v>121</v>
      </c>
      <c r="B2" s="532"/>
      <c r="C2" s="532"/>
      <c r="D2" s="532"/>
      <c r="E2" s="150" t="s">
        <v>208</v>
      </c>
      <c r="F2" s="532"/>
      <c r="G2" s="532"/>
      <c r="H2" s="532"/>
      <c r="I2" s="568"/>
      <c r="J2" s="568"/>
      <c r="K2" s="532"/>
      <c r="L2" s="532"/>
      <c r="M2" s="532"/>
      <c r="N2" s="532"/>
      <c r="O2" s="532"/>
      <c r="P2" s="568"/>
      <c r="Q2" s="568"/>
      <c r="R2" s="532"/>
      <c r="S2" s="532"/>
      <c r="T2" s="532"/>
    </row>
    <row r="3" spans="1:20" ht="15" customHeight="1">
      <c r="A3" s="150"/>
      <c r="B3" s="532"/>
      <c r="C3" s="532"/>
      <c r="D3" s="150" t="s">
        <v>125</v>
      </c>
      <c r="E3" s="150" t="s">
        <v>209</v>
      </c>
      <c r="F3" s="532"/>
      <c r="G3" s="532"/>
      <c r="H3" s="532"/>
      <c r="I3" s="568"/>
      <c r="J3" s="568"/>
      <c r="K3" s="532"/>
      <c r="L3" s="532"/>
      <c r="M3" s="532"/>
      <c r="N3" s="532"/>
      <c r="O3" s="532"/>
      <c r="P3" s="568"/>
      <c r="Q3" s="568"/>
      <c r="R3" s="532"/>
      <c r="S3" s="532"/>
      <c r="T3" s="532"/>
    </row>
    <row r="4" spans="1:20">
      <c r="A4" s="151"/>
      <c r="B4" s="532"/>
      <c r="C4" s="532"/>
      <c r="D4" s="532"/>
      <c r="E4" s="532"/>
      <c r="F4" s="532"/>
      <c r="G4" s="532"/>
      <c r="H4" s="532"/>
      <c r="I4" s="568"/>
      <c r="J4" s="568"/>
      <c r="K4" s="532"/>
      <c r="L4" s="532"/>
      <c r="M4" s="532"/>
      <c r="N4" s="532"/>
      <c r="O4" s="532"/>
      <c r="P4" s="568"/>
      <c r="Q4" s="568"/>
      <c r="R4" s="532"/>
      <c r="S4" s="532"/>
      <c r="T4" s="532"/>
    </row>
    <row r="5" spans="1:20">
      <c r="A5" s="532"/>
      <c r="B5" s="60" t="s">
        <v>129</v>
      </c>
      <c r="C5" s="532"/>
      <c r="D5" s="532"/>
      <c r="E5" s="532"/>
      <c r="F5" s="532"/>
      <c r="G5" s="532"/>
      <c r="H5" s="532"/>
      <c r="I5" s="568"/>
      <c r="J5" s="568"/>
      <c r="K5" s="532"/>
      <c r="L5" s="532"/>
      <c r="M5" s="532"/>
      <c r="N5" s="532"/>
      <c r="O5" s="532"/>
      <c r="P5" s="568"/>
      <c r="Q5" s="568"/>
      <c r="R5" s="532"/>
      <c r="S5" s="532"/>
      <c r="T5" s="532"/>
    </row>
    <row r="6" spans="1:20">
      <c r="A6" s="151" t="s">
        <v>134</v>
      </c>
      <c r="B6" s="61">
        <v>8</v>
      </c>
      <c r="C6" s="532" t="s">
        <v>135</v>
      </c>
      <c r="D6" s="532"/>
      <c r="E6" s="532"/>
      <c r="F6" s="532"/>
      <c r="G6" s="532"/>
      <c r="H6" s="532"/>
      <c r="I6" s="568"/>
      <c r="J6" s="568"/>
      <c r="K6" s="532"/>
      <c r="L6" s="532"/>
      <c r="M6" s="532"/>
      <c r="N6" s="532"/>
      <c r="O6" s="532"/>
      <c r="P6" s="568"/>
      <c r="Q6" s="568"/>
      <c r="R6" s="532"/>
      <c r="S6" s="532"/>
      <c r="T6" s="532"/>
    </row>
    <row r="7" spans="1:20">
      <c r="A7" s="151" t="s">
        <v>137</v>
      </c>
      <c r="B7" s="152">
        <v>2400</v>
      </c>
      <c r="C7" s="532" t="s">
        <v>138</v>
      </c>
      <c r="D7" s="532"/>
      <c r="E7" s="532"/>
      <c r="F7" s="61">
        <v>300</v>
      </c>
      <c r="G7" s="532"/>
      <c r="H7" s="532"/>
      <c r="I7" s="568"/>
      <c r="J7" s="568"/>
      <c r="K7" s="532"/>
      <c r="L7" s="532"/>
      <c r="M7" s="532"/>
      <c r="N7" s="532"/>
      <c r="O7" s="532"/>
      <c r="P7" s="568"/>
      <c r="Q7" s="568"/>
      <c r="R7" s="532"/>
      <c r="S7" s="532"/>
      <c r="T7" s="532"/>
    </row>
    <row r="8" spans="1:20">
      <c r="A8" s="151" t="s">
        <v>139</v>
      </c>
      <c r="B8" s="65">
        <v>2</v>
      </c>
      <c r="C8" s="532" t="s">
        <v>140</v>
      </c>
      <c r="D8" s="532"/>
      <c r="E8" s="532"/>
      <c r="F8" s="532"/>
      <c r="G8" s="532"/>
      <c r="H8" s="532"/>
      <c r="I8" s="568"/>
      <c r="J8" s="568"/>
      <c r="K8" s="532"/>
      <c r="L8" s="532"/>
      <c r="M8" s="532"/>
      <c r="N8" s="532"/>
      <c r="O8" s="532"/>
      <c r="P8" s="568"/>
      <c r="Q8" s="568"/>
      <c r="R8" s="532"/>
      <c r="S8" s="532"/>
      <c r="T8" s="532"/>
    </row>
    <row r="9" spans="1:20">
      <c r="A9" s="151" t="s">
        <v>210</v>
      </c>
      <c r="B9" s="65">
        <v>5</v>
      </c>
      <c r="C9" s="532" t="s">
        <v>140</v>
      </c>
      <c r="D9" s="532"/>
      <c r="E9" s="532"/>
      <c r="F9" s="532"/>
      <c r="G9" s="532"/>
      <c r="H9" s="532"/>
      <c r="I9" s="568"/>
      <c r="J9" s="568"/>
      <c r="K9" s="532"/>
      <c r="L9" s="532"/>
      <c r="M9" s="532"/>
      <c r="N9" s="532"/>
      <c r="O9" s="532"/>
      <c r="P9" s="568"/>
      <c r="Q9" s="568"/>
      <c r="R9" s="532"/>
      <c r="S9" s="532"/>
      <c r="T9" s="532"/>
    </row>
    <row r="10" spans="1:20">
      <c r="A10" s="151"/>
      <c r="B10" s="532"/>
      <c r="C10" s="532"/>
      <c r="D10" s="532"/>
      <c r="E10" s="532"/>
      <c r="F10" s="532"/>
      <c r="G10" s="532"/>
      <c r="H10" s="532"/>
      <c r="I10" s="568"/>
      <c r="J10" s="568"/>
      <c r="K10" s="532"/>
      <c r="L10" s="532"/>
      <c r="M10" s="532"/>
      <c r="N10" s="532"/>
      <c r="O10" s="532"/>
      <c r="P10" s="568"/>
      <c r="Q10" s="568"/>
      <c r="R10" s="532"/>
      <c r="S10" s="532"/>
      <c r="T10" s="532"/>
    </row>
    <row r="11" spans="1:20" ht="15" customHeight="1">
      <c r="A11" s="150" t="s">
        <v>144</v>
      </c>
      <c r="B11" s="532"/>
      <c r="C11" s="532"/>
      <c r="D11" s="532"/>
      <c r="E11" s="532"/>
      <c r="F11" s="532"/>
      <c r="G11" s="532"/>
      <c r="H11" s="532"/>
      <c r="I11" s="568"/>
      <c r="J11" s="568"/>
      <c r="K11" s="532"/>
      <c r="L11" s="532"/>
      <c r="M11" s="532"/>
      <c r="N11" s="532"/>
      <c r="O11" s="532"/>
      <c r="P11" s="568"/>
      <c r="Q11" s="568"/>
      <c r="R11" s="532"/>
      <c r="S11" s="532"/>
      <c r="T11" s="532"/>
    </row>
    <row r="12" spans="1:20">
      <c r="A12" s="151"/>
      <c r="B12" s="532"/>
      <c r="C12" s="532"/>
      <c r="D12" s="532"/>
      <c r="E12" s="532"/>
      <c r="F12" s="532"/>
      <c r="G12" s="532"/>
      <c r="H12" s="532"/>
      <c r="I12" s="568"/>
      <c r="J12" s="568"/>
      <c r="K12" s="532"/>
      <c r="L12" s="532"/>
      <c r="M12" s="532"/>
      <c r="N12" s="532"/>
      <c r="O12" s="532"/>
      <c r="P12" s="568"/>
      <c r="Q12" s="568"/>
      <c r="R12" s="532"/>
      <c r="S12" s="532"/>
      <c r="T12" s="532"/>
    </row>
    <row r="13" spans="1:20">
      <c r="A13" s="569" t="s">
        <v>146</v>
      </c>
      <c r="B13" s="570"/>
      <c r="C13" s="151"/>
      <c r="D13" s="571" t="s">
        <v>211</v>
      </c>
      <c r="E13" s="572"/>
      <c r="F13" s="572"/>
      <c r="G13" s="572"/>
      <c r="H13" s="572"/>
      <c r="I13" s="532"/>
      <c r="J13" s="573" t="s">
        <v>212</v>
      </c>
      <c r="K13" s="574"/>
      <c r="L13" s="574"/>
      <c r="M13" s="574"/>
      <c r="N13" s="574"/>
      <c r="O13" s="574"/>
      <c r="P13" s="532"/>
      <c r="Q13" s="575" t="s">
        <v>213</v>
      </c>
      <c r="R13" s="576"/>
      <c r="S13" s="576"/>
      <c r="T13" s="576"/>
    </row>
    <row r="14" spans="1:20">
      <c r="A14" s="153" t="s">
        <v>150</v>
      </c>
      <c r="B14" s="153" t="s">
        <v>151</v>
      </c>
      <c r="C14" s="151"/>
      <c r="D14" s="154" t="s">
        <v>132</v>
      </c>
      <c r="E14" s="154" t="s">
        <v>152</v>
      </c>
      <c r="F14" s="533" t="s">
        <v>153</v>
      </c>
      <c r="G14" s="153" t="s">
        <v>154</v>
      </c>
      <c r="H14" s="153" t="s">
        <v>155</v>
      </c>
      <c r="I14" s="532"/>
      <c r="J14" s="153" t="s">
        <v>132</v>
      </c>
      <c r="K14" s="153" t="s">
        <v>156</v>
      </c>
      <c r="L14" s="153" t="s">
        <v>153</v>
      </c>
      <c r="M14" s="153" t="s">
        <v>154</v>
      </c>
      <c r="N14" s="153" t="s">
        <v>155</v>
      </c>
      <c r="O14" s="155" t="s">
        <v>157</v>
      </c>
      <c r="P14" s="532"/>
      <c r="Q14" s="156" t="s">
        <v>153</v>
      </c>
      <c r="R14" s="157" t="s">
        <v>154</v>
      </c>
      <c r="S14" s="157" t="s">
        <v>155</v>
      </c>
      <c r="T14" s="156" t="s">
        <v>214</v>
      </c>
    </row>
    <row r="15" spans="1:20">
      <c r="A15" s="152" t="s">
        <v>159</v>
      </c>
      <c r="B15" s="158">
        <v>0.59799999999999998</v>
      </c>
      <c r="C15" s="532"/>
      <c r="D15" s="159">
        <v>15</v>
      </c>
      <c r="E15" s="159">
        <v>32</v>
      </c>
      <c r="F15" s="160">
        <v>4.5999999999999996</v>
      </c>
      <c r="G15" s="152">
        <v>2.7</v>
      </c>
      <c r="H15" s="152">
        <v>21.9</v>
      </c>
      <c r="I15" s="532"/>
      <c r="J15" s="152">
        <v>15</v>
      </c>
      <c r="K15" s="152">
        <v>0.66700000000000004</v>
      </c>
      <c r="L15" s="159">
        <v>1.4</v>
      </c>
      <c r="M15" s="152">
        <v>0.4</v>
      </c>
      <c r="N15" s="152">
        <v>3.4</v>
      </c>
      <c r="O15" s="162">
        <v>-0.84</v>
      </c>
      <c r="P15" s="532"/>
      <c r="Q15" s="163">
        <v>4.5999999999999996</v>
      </c>
      <c r="R15" s="163">
        <v>2.8</v>
      </c>
      <c r="S15" s="163">
        <v>22</v>
      </c>
      <c r="T15" s="164">
        <v>5.44</v>
      </c>
    </row>
    <row r="16" spans="1:20">
      <c r="A16" s="152" t="s">
        <v>160</v>
      </c>
      <c r="B16" s="158">
        <v>0</v>
      </c>
      <c r="C16" s="532"/>
      <c r="D16" s="159">
        <v>82</v>
      </c>
      <c r="E16" s="159">
        <v>103</v>
      </c>
      <c r="F16" s="160">
        <v>14.7</v>
      </c>
      <c r="G16" s="152">
        <v>0</v>
      </c>
      <c r="H16" s="152">
        <v>0</v>
      </c>
      <c r="I16" s="532"/>
      <c r="J16" s="152">
        <v>101</v>
      </c>
      <c r="K16" s="152">
        <v>0.442</v>
      </c>
      <c r="L16" s="152">
        <v>6.4</v>
      </c>
      <c r="M16" s="152">
        <v>0</v>
      </c>
      <c r="N16" s="152">
        <v>0</v>
      </c>
      <c r="O16" s="161"/>
      <c r="P16" s="532"/>
      <c r="Q16" s="163"/>
      <c r="R16" s="163">
        <v>0</v>
      </c>
      <c r="S16" s="163">
        <v>0</v>
      </c>
      <c r="T16" s="163"/>
    </row>
    <row r="17" spans="1:20">
      <c r="A17" s="152">
        <v>1</v>
      </c>
      <c r="B17" s="158">
        <v>0.124</v>
      </c>
      <c r="C17" s="532"/>
      <c r="D17" s="159">
        <v>98</v>
      </c>
      <c r="E17" s="159">
        <v>55</v>
      </c>
      <c r="F17" s="160">
        <v>7.9</v>
      </c>
      <c r="G17" s="152">
        <v>1</v>
      </c>
      <c r="H17" s="152">
        <v>7.8</v>
      </c>
      <c r="I17" s="532"/>
      <c r="J17" s="152">
        <v>101</v>
      </c>
      <c r="K17" s="152">
        <v>0.442</v>
      </c>
      <c r="L17" s="152">
        <v>6.4</v>
      </c>
      <c r="M17" s="152">
        <v>0.8</v>
      </c>
      <c r="N17" s="152">
        <v>6.3</v>
      </c>
      <c r="O17" s="162">
        <v>-0.19</v>
      </c>
      <c r="P17" s="532"/>
      <c r="Q17" s="163">
        <v>7</v>
      </c>
      <c r="R17" s="163">
        <v>0.9</v>
      </c>
      <c r="S17" s="163">
        <v>6.9</v>
      </c>
      <c r="T17" s="164">
        <v>9.8000000000000004E-2</v>
      </c>
    </row>
    <row r="18" spans="1:20">
      <c r="A18" s="152">
        <v>2</v>
      </c>
      <c r="B18" s="158">
        <v>0.123</v>
      </c>
      <c r="C18" s="532"/>
      <c r="D18" s="159">
        <v>333</v>
      </c>
      <c r="E18" s="159">
        <v>137</v>
      </c>
      <c r="F18" s="160">
        <v>19.600000000000001</v>
      </c>
      <c r="G18" s="152">
        <v>2.4</v>
      </c>
      <c r="H18" s="152">
        <v>19.3</v>
      </c>
      <c r="I18" s="532"/>
      <c r="J18" s="152">
        <v>350</v>
      </c>
      <c r="K18" s="152">
        <v>0.40300000000000002</v>
      </c>
      <c r="L18" s="152">
        <v>20.2</v>
      </c>
      <c r="M18" s="152">
        <v>2.5</v>
      </c>
      <c r="N18" s="152">
        <v>19.8</v>
      </c>
      <c r="O18" s="162">
        <v>0.03</v>
      </c>
      <c r="P18" s="532"/>
      <c r="Q18" s="163">
        <v>16</v>
      </c>
      <c r="R18" s="163">
        <v>2</v>
      </c>
      <c r="S18" s="163">
        <v>15.7</v>
      </c>
      <c r="T18" s="164">
        <v>-0.20599999999999999</v>
      </c>
    </row>
    <row r="19" spans="1:20">
      <c r="A19" s="152">
        <v>3</v>
      </c>
      <c r="B19" s="158">
        <v>5.8000000000000003E-2</v>
      </c>
      <c r="C19" s="532"/>
      <c r="D19" s="159">
        <v>589</v>
      </c>
      <c r="E19" s="159">
        <v>226</v>
      </c>
      <c r="F19" s="160">
        <v>32.299999999999997</v>
      </c>
      <c r="G19" s="152">
        <v>1.9</v>
      </c>
      <c r="H19" s="152">
        <v>15</v>
      </c>
      <c r="I19" s="532"/>
      <c r="J19" s="152">
        <v>625</v>
      </c>
      <c r="K19" s="152">
        <v>0.38500000000000001</v>
      </c>
      <c r="L19" s="152">
        <v>34.4</v>
      </c>
      <c r="M19" s="152">
        <v>2</v>
      </c>
      <c r="N19" s="152">
        <v>16</v>
      </c>
      <c r="O19" s="162">
        <v>0.06</v>
      </c>
      <c r="P19" s="532"/>
      <c r="Q19" s="163">
        <v>31.4</v>
      </c>
      <c r="R19" s="163">
        <v>1.8</v>
      </c>
      <c r="S19" s="163">
        <v>14.6</v>
      </c>
      <c r="T19" s="164">
        <v>-8.6999999999999994E-2</v>
      </c>
    </row>
    <row r="20" spans="1:20">
      <c r="A20" s="152">
        <v>4</v>
      </c>
      <c r="B20" s="158">
        <v>3.5999999999999997E-2</v>
      </c>
      <c r="C20" s="532"/>
      <c r="D20" s="159">
        <v>871</v>
      </c>
      <c r="E20" s="159">
        <v>331</v>
      </c>
      <c r="F20" s="160">
        <v>47.3</v>
      </c>
      <c r="G20" s="152">
        <v>1.7</v>
      </c>
      <c r="H20" s="152">
        <v>13.6</v>
      </c>
      <c r="I20" s="532"/>
      <c r="J20" s="152">
        <v>900</v>
      </c>
      <c r="K20" s="152">
        <v>0.37</v>
      </c>
      <c r="L20" s="152">
        <v>47.6</v>
      </c>
      <c r="M20" s="152">
        <v>1.7</v>
      </c>
      <c r="N20" s="152">
        <v>13.7</v>
      </c>
      <c r="O20" s="162">
        <v>0.01</v>
      </c>
      <c r="P20" s="532"/>
      <c r="Q20" s="163">
        <v>46.8</v>
      </c>
      <c r="R20" s="163">
        <v>1.7</v>
      </c>
      <c r="S20" s="163">
        <v>13.5</v>
      </c>
      <c r="T20" s="164">
        <v>-1.6E-2</v>
      </c>
    </row>
    <row r="21" spans="1:20">
      <c r="A21" s="152">
        <v>5</v>
      </c>
      <c r="B21" s="158">
        <v>3.5999999999999997E-2</v>
      </c>
      <c r="C21" s="532"/>
      <c r="D21" s="159">
        <v>1161</v>
      </c>
      <c r="E21" s="159">
        <v>442</v>
      </c>
      <c r="F21" s="160">
        <v>63.1</v>
      </c>
      <c r="G21" s="152">
        <v>2.2999999999999998</v>
      </c>
      <c r="H21" s="152">
        <v>18.2</v>
      </c>
      <c r="I21" s="532"/>
      <c r="J21" s="152">
        <v>1175</v>
      </c>
      <c r="K21" s="152">
        <v>0.35799999999999998</v>
      </c>
      <c r="L21" s="152">
        <v>60.1</v>
      </c>
      <c r="M21" s="152">
        <v>2.2000000000000002</v>
      </c>
      <c r="N21" s="152">
        <v>17.3</v>
      </c>
      <c r="O21" s="162">
        <v>-0.05</v>
      </c>
      <c r="P21" s="532"/>
      <c r="Q21" s="163">
        <v>63.8</v>
      </c>
      <c r="R21" s="163">
        <v>2.2999999999999998</v>
      </c>
      <c r="S21" s="163">
        <v>18.399999999999999</v>
      </c>
      <c r="T21" s="164">
        <v>6.2E-2</v>
      </c>
    </row>
    <row r="22" spans="1:20">
      <c r="A22" s="152">
        <v>6</v>
      </c>
      <c r="B22" s="158">
        <v>1.4999999999999999E-2</v>
      </c>
      <c r="C22" s="532"/>
      <c r="D22" s="159">
        <v>1465</v>
      </c>
      <c r="E22" s="159">
        <v>567</v>
      </c>
      <c r="F22" s="160">
        <v>81</v>
      </c>
      <c r="G22" s="152">
        <v>1.2</v>
      </c>
      <c r="H22" s="152">
        <v>9.6999999999999993</v>
      </c>
      <c r="I22" s="532"/>
      <c r="J22" s="152">
        <v>1450</v>
      </c>
      <c r="K22" s="152">
        <v>0.34200000000000003</v>
      </c>
      <c r="L22" s="152">
        <v>70.8</v>
      </c>
      <c r="M22" s="152">
        <v>1.1000000000000001</v>
      </c>
      <c r="N22" s="152">
        <v>8.5</v>
      </c>
      <c r="O22" s="162">
        <v>-0.13</v>
      </c>
      <c r="P22" s="532"/>
      <c r="Q22" s="163">
        <v>83.1</v>
      </c>
      <c r="R22" s="163">
        <v>1.2</v>
      </c>
      <c r="S22" s="163">
        <v>10</v>
      </c>
      <c r="T22" s="164">
        <v>0.17299999999999999</v>
      </c>
    </row>
    <row r="23" spans="1:20">
      <c r="A23" s="152">
        <v>7</v>
      </c>
      <c r="B23" s="158">
        <v>2E-3</v>
      </c>
      <c r="C23" s="532"/>
      <c r="D23" s="159">
        <v>1810</v>
      </c>
      <c r="E23" s="159">
        <v>710</v>
      </c>
      <c r="F23" s="160">
        <v>101.4</v>
      </c>
      <c r="G23" s="152">
        <v>0.2</v>
      </c>
      <c r="H23" s="152">
        <v>1.6</v>
      </c>
      <c r="I23" s="532"/>
      <c r="J23" s="152">
        <v>1721</v>
      </c>
      <c r="K23" s="152">
        <v>0.34200000000000003</v>
      </c>
      <c r="L23" s="152">
        <v>84.1</v>
      </c>
      <c r="M23" s="152">
        <v>0.2</v>
      </c>
      <c r="N23" s="152">
        <v>1.3</v>
      </c>
      <c r="O23" s="162">
        <v>-0.17</v>
      </c>
      <c r="P23" s="532"/>
      <c r="Q23" s="163">
        <v>102.8</v>
      </c>
      <c r="R23" s="163">
        <v>0.2</v>
      </c>
      <c r="S23" s="163">
        <v>1.6</v>
      </c>
      <c r="T23" s="164">
        <v>0.223</v>
      </c>
    </row>
    <row r="24" spans="1:20">
      <c r="A24" s="152">
        <v>8</v>
      </c>
      <c r="B24" s="158">
        <v>8.0000000000000002E-3</v>
      </c>
      <c r="C24" s="532"/>
      <c r="D24" s="159">
        <v>2124</v>
      </c>
      <c r="E24" s="159">
        <v>854</v>
      </c>
      <c r="F24" s="160">
        <v>122</v>
      </c>
      <c r="G24" s="165">
        <v>1</v>
      </c>
      <c r="H24" s="165">
        <v>7.8</v>
      </c>
      <c r="I24" s="532"/>
      <c r="J24" s="152">
        <v>2000</v>
      </c>
      <c r="K24" s="152">
        <v>0.34399999999999997</v>
      </c>
      <c r="L24" s="152">
        <v>98.3</v>
      </c>
      <c r="M24" s="165">
        <v>0.8</v>
      </c>
      <c r="N24" s="165">
        <v>6.3</v>
      </c>
      <c r="O24" s="166">
        <v>-0.19</v>
      </c>
      <c r="P24" s="532"/>
      <c r="Q24" s="163">
        <v>122.4</v>
      </c>
      <c r="R24" s="163">
        <v>1</v>
      </c>
      <c r="S24" s="167">
        <v>7.8</v>
      </c>
      <c r="T24" s="168">
        <v>0.245</v>
      </c>
    </row>
    <row r="25" spans="1:20">
      <c r="A25" s="532"/>
      <c r="B25" s="532"/>
      <c r="C25" s="532"/>
      <c r="D25" s="532"/>
      <c r="E25" s="532"/>
      <c r="F25" s="532" t="s">
        <v>162</v>
      </c>
      <c r="G25" s="95">
        <v>14.4</v>
      </c>
      <c r="H25" s="169">
        <v>114.9</v>
      </c>
      <c r="I25" s="568"/>
      <c r="J25" s="568"/>
      <c r="K25" s="532"/>
      <c r="L25" s="532" t="s">
        <v>162</v>
      </c>
      <c r="M25" s="95">
        <v>11.6</v>
      </c>
      <c r="N25" s="169">
        <v>92.7</v>
      </c>
      <c r="O25" s="170">
        <v>-0.19</v>
      </c>
      <c r="P25" s="568"/>
      <c r="Q25" s="568"/>
      <c r="R25" s="101">
        <v>13.8</v>
      </c>
      <c r="S25" s="171">
        <v>110.6</v>
      </c>
      <c r="T25" s="172">
        <v>0.193</v>
      </c>
    </row>
    <row r="26" spans="1:20">
      <c r="A26" s="532"/>
      <c r="B26" s="532"/>
      <c r="C26" s="532"/>
      <c r="D26" s="532"/>
      <c r="E26" s="532"/>
      <c r="F26" s="532"/>
      <c r="G26" s="532"/>
      <c r="H26" s="532"/>
      <c r="I26" s="568"/>
      <c r="J26" s="568"/>
      <c r="K26" s="532"/>
      <c r="L26" s="532"/>
      <c r="M26" s="532"/>
      <c r="N26" s="532"/>
      <c r="O26" s="532"/>
      <c r="P26" s="568"/>
      <c r="Q26" s="568"/>
      <c r="R26" s="532"/>
      <c r="S26" s="532"/>
      <c r="T26" s="532"/>
    </row>
    <row r="27" spans="1:20">
      <c r="A27" s="173" t="s">
        <v>215</v>
      </c>
      <c r="B27" s="532"/>
      <c r="C27" s="532"/>
      <c r="D27" s="532"/>
      <c r="E27" s="532"/>
      <c r="F27" s="532"/>
      <c r="G27" s="532"/>
      <c r="H27" s="532"/>
      <c r="I27" s="568"/>
      <c r="J27" s="568"/>
      <c r="K27" s="532"/>
      <c r="L27" s="532"/>
      <c r="M27" s="532"/>
      <c r="N27" s="532"/>
      <c r="O27" s="532"/>
      <c r="P27" s="568"/>
      <c r="Q27" s="568"/>
      <c r="R27" s="532"/>
      <c r="S27" s="532"/>
      <c r="T27" s="532"/>
    </row>
    <row r="28" spans="1:20" ht="15" customHeight="1">
      <c r="A28" s="153" t="s">
        <v>165</v>
      </c>
      <c r="B28" s="174" t="s">
        <v>166</v>
      </c>
      <c r="C28" s="174" t="s">
        <v>167</v>
      </c>
      <c r="D28" s="174" t="s">
        <v>168</v>
      </c>
      <c r="E28" s="174" t="s">
        <v>169</v>
      </c>
      <c r="F28" s="174" t="s">
        <v>170</v>
      </c>
      <c r="G28" s="174" t="s">
        <v>171</v>
      </c>
      <c r="H28" s="532"/>
      <c r="I28" s="568"/>
      <c r="J28" s="568"/>
      <c r="K28" s="532"/>
      <c r="L28" s="532"/>
      <c r="M28" s="532"/>
      <c r="N28" s="532"/>
      <c r="O28" s="532"/>
      <c r="P28" s="568"/>
      <c r="Q28" s="568"/>
      <c r="R28" s="532"/>
      <c r="S28" s="532"/>
      <c r="T28" s="532"/>
    </row>
    <row r="29" spans="1:20">
      <c r="A29" s="175" t="s">
        <v>172</v>
      </c>
      <c r="B29" s="152">
        <v>22.2</v>
      </c>
      <c r="C29" s="152">
        <v>300</v>
      </c>
      <c r="D29" s="176">
        <v>6658</v>
      </c>
      <c r="E29" s="177">
        <v>2</v>
      </c>
      <c r="F29" s="178">
        <v>13315</v>
      </c>
      <c r="G29" s="178">
        <v>199727</v>
      </c>
      <c r="H29" s="532"/>
      <c r="I29" s="568"/>
      <c r="J29" s="568"/>
      <c r="K29" s="532"/>
      <c r="L29" s="532"/>
      <c r="M29" s="532"/>
      <c r="N29" s="532"/>
      <c r="O29" s="532"/>
      <c r="P29" s="568"/>
      <c r="Q29" s="568"/>
      <c r="R29" s="532"/>
      <c r="S29" s="532"/>
      <c r="T29" s="532"/>
    </row>
    <row r="30" spans="1:20">
      <c r="A30" s="179"/>
      <c r="B30" s="532"/>
      <c r="C30" s="532"/>
      <c r="D30" s="532"/>
      <c r="E30" s="532"/>
      <c r="F30" s="151"/>
      <c r="G30" s="151"/>
      <c r="H30" s="532"/>
      <c r="I30" s="568"/>
      <c r="J30" s="568"/>
      <c r="K30" s="532"/>
      <c r="L30" s="532"/>
      <c r="M30" s="532"/>
      <c r="N30" s="532"/>
      <c r="O30" s="532"/>
      <c r="P30" s="568"/>
      <c r="Q30" s="568"/>
      <c r="R30" s="532"/>
      <c r="S30" s="532"/>
      <c r="T30" s="532"/>
    </row>
    <row r="31" spans="1:20">
      <c r="A31" s="151"/>
      <c r="B31" s="532"/>
      <c r="C31" s="532"/>
      <c r="D31" s="532"/>
      <c r="E31" s="532"/>
      <c r="F31" s="532"/>
      <c r="G31" s="532"/>
      <c r="H31" s="532"/>
      <c r="I31" s="568"/>
      <c r="J31" s="568"/>
      <c r="K31" s="532"/>
      <c r="L31" s="532"/>
      <c r="M31" s="532"/>
      <c r="N31" s="532"/>
      <c r="O31" s="532"/>
      <c r="P31" s="568"/>
      <c r="Q31" s="568"/>
      <c r="R31" s="532"/>
      <c r="S31" s="532"/>
      <c r="T31" s="532"/>
    </row>
    <row r="32" spans="1:20" ht="15" customHeight="1">
      <c r="A32" s="150" t="s">
        <v>175</v>
      </c>
      <c r="B32" s="532"/>
      <c r="C32" s="532"/>
      <c r="D32" s="532"/>
      <c r="E32" s="532"/>
      <c r="F32" s="532"/>
      <c r="G32" s="532"/>
      <c r="H32" s="532"/>
      <c r="I32" s="568"/>
      <c r="J32" s="568"/>
      <c r="K32" s="532"/>
      <c r="L32" s="532"/>
      <c r="M32" s="532"/>
      <c r="N32" s="532"/>
      <c r="O32" s="532"/>
      <c r="P32" s="568"/>
      <c r="Q32" s="568"/>
      <c r="R32" s="532"/>
      <c r="S32" s="532"/>
      <c r="T32" s="532"/>
    </row>
    <row r="33" spans="1:20">
      <c r="A33" s="151"/>
      <c r="B33" s="532"/>
      <c r="C33" s="532"/>
      <c r="D33" s="532"/>
      <c r="E33" s="532"/>
      <c r="F33" s="532"/>
      <c r="G33" s="532"/>
      <c r="H33" s="532"/>
      <c r="I33" s="568"/>
      <c r="J33" s="568"/>
      <c r="K33" s="532"/>
      <c r="L33" s="532"/>
      <c r="M33" s="532"/>
      <c r="N33" s="532"/>
      <c r="O33" s="532"/>
      <c r="P33" s="568"/>
      <c r="Q33" s="568"/>
      <c r="R33" s="532"/>
      <c r="S33" s="532"/>
      <c r="T33" s="532"/>
    </row>
    <row r="34" spans="1:20">
      <c r="A34" s="173" t="s">
        <v>176</v>
      </c>
      <c r="B34" s="532"/>
      <c r="C34" s="532"/>
      <c r="D34" s="532"/>
      <c r="E34" s="532"/>
      <c r="F34" s="532"/>
      <c r="G34" s="532"/>
      <c r="H34" s="532"/>
      <c r="I34" s="568"/>
      <c r="J34" s="568"/>
      <c r="K34" s="532"/>
      <c r="L34" s="532"/>
      <c r="M34" s="532"/>
      <c r="N34" s="532"/>
      <c r="O34" s="532"/>
      <c r="P34" s="568"/>
      <c r="Q34" s="568"/>
      <c r="R34" s="532"/>
      <c r="S34" s="532"/>
      <c r="T34" s="532"/>
    </row>
    <row r="35" spans="1:20" ht="15" customHeight="1">
      <c r="A35" s="174" t="s">
        <v>177</v>
      </c>
      <c r="B35" s="174" t="s">
        <v>178</v>
      </c>
      <c r="C35" s="174" t="s">
        <v>179</v>
      </c>
      <c r="D35" s="174" t="s">
        <v>216</v>
      </c>
      <c r="E35" s="174" t="s">
        <v>152</v>
      </c>
      <c r="F35" s="174" t="s">
        <v>181</v>
      </c>
      <c r="G35" s="153" t="s">
        <v>155</v>
      </c>
      <c r="H35" s="532"/>
      <c r="I35" s="568"/>
      <c r="J35" s="568"/>
      <c r="K35" s="532"/>
      <c r="L35" s="532"/>
      <c r="M35" s="532"/>
      <c r="N35" s="532"/>
      <c r="O35" s="532"/>
      <c r="P35" s="568"/>
      <c r="Q35" s="568"/>
      <c r="R35" s="532"/>
      <c r="S35" s="532"/>
      <c r="T35" s="532"/>
    </row>
    <row r="36" spans="1:20">
      <c r="A36" s="61">
        <v>65</v>
      </c>
      <c r="B36" s="152">
        <v>2.9999999999999997E-4</v>
      </c>
      <c r="C36" s="61">
        <v>2000</v>
      </c>
      <c r="D36" s="180">
        <v>0.1</v>
      </c>
      <c r="E36" s="152">
        <v>0.06</v>
      </c>
      <c r="F36" s="152">
        <v>0.01</v>
      </c>
      <c r="G36" s="152">
        <v>7.0000000000000007E-2</v>
      </c>
      <c r="H36" s="532"/>
      <c r="I36" s="568"/>
      <c r="J36" s="568"/>
      <c r="K36" s="532"/>
      <c r="L36" s="532"/>
      <c r="M36" s="532"/>
      <c r="N36" s="532"/>
      <c r="O36" s="532"/>
      <c r="P36" s="568"/>
      <c r="Q36" s="568"/>
      <c r="R36" s="532"/>
      <c r="S36" s="532"/>
      <c r="T36" s="532"/>
    </row>
    <row r="37" spans="1:20">
      <c r="A37" s="532"/>
      <c r="B37" s="532"/>
      <c r="C37" s="532"/>
      <c r="D37" s="532"/>
      <c r="E37" s="532"/>
      <c r="F37" s="532"/>
      <c r="G37" s="532"/>
      <c r="H37" s="532"/>
      <c r="I37" s="568"/>
      <c r="J37" s="568"/>
      <c r="K37" s="532"/>
      <c r="L37" s="532"/>
      <c r="M37" s="532"/>
      <c r="N37" s="532"/>
      <c r="O37" s="532"/>
      <c r="P37" s="568"/>
      <c r="Q37" s="568"/>
      <c r="R37" s="532"/>
      <c r="S37" s="532"/>
      <c r="T37" s="532"/>
    </row>
    <row r="38" spans="1:20">
      <c r="A38" s="532"/>
      <c r="B38" s="532"/>
      <c r="C38" s="532"/>
      <c r="D38" s="532"/>
      <c r="E38" s="532"/>
      <c r="F38" s="532"/>
      <c r="G38" s="532"/>
      <c r="H38" s="532"/>
      <c r="I38" s="568"/>
      <c r="J38" s="568"/>
      <c r="K38" s="532"/>
      <c r="L38" s="532"/>
      <c r="M38" s="532"/>
      <c r="N38" s="532"/>
      <c r="O38" s="532"/>
      <c r="P38" s="568"/>
      <c r="Q38" s="568"/>
      <c r="R38" s="532"/>
      <c r="S38" s="532"/>
      <c r="T38" s="532"/>
    </row>
    <row r="39" spans="1:20">
      <c r="A39" s="181" t="s">
        <v>183</v>
      </c>
      <c r="B39" s="532"/>
      <c r="C39" s="532"/>
      <c r="D39" s="532"/>
      <c r="E39" s="532"/>
      <c r="F39" s="532"/>
      <c r="G39" s="532"/>
      <c r="H39" s="532"/>
      <c r="I39" s="568"/>
      <c r="J39" s="568"/>
      <c r="K39" s="532"/>
      <c r="L39" s="532"/>
      <c r="M39" s="532"/>
      <c r="N39" s="532"/>
      <c r="O39" s="532"/>
      <c r="P39" s="568"/>
      <c r="Q39" s="568"/>
      <c r="R39" s="532"/>
      <c r="S39" s="532"/>
      <c r="T39" s="532"/>
    </row>
    <row r="40" spans="1:20">
      <c r="A40" s="153" t="s">
        <v>184</v>
      </c>
      <c r="B40" s="153" t="s">
        <v>185</v>
      </c>
      <c r="C40" s="182"/>
      <c r="D40" s="182"/>
      <c r="E40" s="183"/>
      <c r="F40" s="153" t="s">
        <v>181</v>
      </c>
      <c r="G40" s="153" t="s">
        <v>186</v>
      </c>
      <c r="H40" s="532"/>
      <c r="I40" s="568"/>
      <c r="J40" s="568"/>
      <c r="K40" s="532"/>
      <c r="L40" s="532"/>
      <c r="M40" s="532"/>
      <c r="N40" s="532"/>
      <c r="O40" s="532"/>
      <c r="P40" s="568"/>
      <c r="Q40" s="568"/>
      <c r="R40" s="532"/>
      <c r="S40" s="532"/>
      <c r="T40" s="532"/>
    </row>
    <row r="41" spans="1:20">
      <c r="A41" s="152">
        <v>6.25E-2</v>
      </c>
      <c r="B41" s="61">
        <v>16</v>
      </c>
      <c r="C41" s="183"/>
      <c r="D41" s="183"/>
      <c r="E41" s="183"/>
      <c r="F41" s="152">
        <v>1</v>
      </c>
      <c r="G41" s="152">
        <v>8</v>
      </c>
      <c r="H41" s="532"/>
      <c r="I41" s="568"/>
      <c r="J41" s="568"/>
      <c r="K41" s="532"/>
      <c r="L41" s="532"/>
      <c r="M41" s="532"/>
      <c r="N41" s="532"/>
      <c r="O41" s="532"/>
      <c r="P41" s="568"/>
      <c r="Q41" s="568"/>
      <c r="R41" s="532"/>
      <c r="S41" s="532"/>
      <c r="T41" s="532"/>
    </row>
    <row r="42" spans="1:20">
      <c r="A42" s="532"/>
      <c r="B42" s="532"/>
      <c r="C42" s="532"/>
      <c r="D42" s="532"/>
      <c r="E42" s="532"/>
      <c r="F42" s="532"/>
      <c r="G42" s="532"/>
      <c r="H42" s="532"/>
      <c r="I42" s="568"/>
      <c r="J42" s="568"/>
      <c r="K42" s="532"/>
      <c r="L42" s="532"/>
      <c r="M42" s="532"/>
      <c r="N42" s="532"/>
      <c r="O42" s="532"/>
      <c r="P42" s="568"/>
      <c r="Q42" s="568"/>
      <c r="R42" s="532"/>
      <c r="S42" s="532"/>
      <c r="T42" s="532"/>
    </row>
    <row r="43" spans="1:20">
      <c r="A43" s="173" t="s">
        <v>215</v>
      </c>
      <c r="B43" s="532"/>
      <c r="C43" s="532"/>
      <c r="D43" s="532"/>
      <c r="E43" s="532"/>
      <c r="F43" s="532"/>
      <c r="G43" s="532"/>
      <c r="H43" s="532"/>
      <c r="I43" s="568"/>
      <c r="J43" s="568"/>
      <c r="K43" s="532"/>
      <c r="L43" s="532"/>
      <c r="M43" s="532"/>
      <c r="N43" s="532"/>
      <c r="O43" s="532"/>
      <c r="P43" s="568"/>
      <c r="Q43" s="568"/>
      <c r="R43" s="532"/>
      <c r="S43" s="532"/>
      <c r="T43" s="532"/>
    </row>
    <row r="44" spans="1:20" ht="15" customHeight="1">
      <c r="A44" s="174" t="s">
        <v>217</v>
      </c>
      <c r="B44" s="174" t="s">
        <v>166</v>
      </c>
      <c r="C44" s="174" t="s">
        <v>218</v>
      </c>
      <c r="D44" s="174" t="s">
        <v>168</v>
      </c>
      <c r="E44" s="174" t="s">
        <v>169</v>
      </c>
      <c r="F44" s="174" t="s">
        <v>170</v>
      </c>
      <c r="G44" s="174" t="s">
        <v>171</v>
      </c>
      <c r="H44" s="532"/>
      <c r="I44" s="568"/>
      <c r="J44" s="568"/>
      <c r="K44" s="532"/>
      <c r="L44" s="532"/>
      <c r="M44" s="532"/>
      <c r="N44" s="532"/>
      <c r="O44" s="532"/>
      <c r="P44" s="568"/>
      <c r="Q44" s="568"/>
      <c r="R44" s="532"/>
      <c r="S44" s="532"/>
      <c r="T44" s="532"/>
    </row>
    <row r="45" spans="1:20">
      <c r="A45" s="153" t="s">
        <v>194</v>
      </c>
      <c r="B45" s="152">
        <v>7.9</v>
      </c>
      <c r="C45" s="152">
        <v>300</v>
      </c>
      <c r="D45" s="176">
        <v>2380</v>
      </c>
      <c r="E45" s="177">
        <v>5</v>
      </c>
      <c r="F45" s="184">
        <v>11901</v>
      </c>
      <c r="G45" s="184">
        <v>178521</v>
      </c>
      <c r="H45" s="532"/>
      <c r="I45" s="568"/>
      <c r="J45" s="568"/>
      <c r="K45" s="532"/>
      <c r="L45" s="532"/>
      <c r="M45" s="532"/>
      <c r="N45" s="532"/>
      <c r="O45" s="532"/>
      <c r="P45" s="568"/>
      <c r="Q45" s="568"/>
      <c r="R45" s="532"/>
      <c r="S45" s="532"/>
      <c r="T45" s="532"/>
    </row>
    <row r="46" spans="1:20">
      <c r="A46" s="153" t="s">
        <v>195</v>
      </c>
      <c r="B46" s="152"/>
      <c r="C46" s="152">
        <v>300</v>
      </c>
      <c r="D46" s="152">
        <v>-260</v>
      </c>
      <c r="E46" s="177">
        <v>5</v>
      </c>
      <c r="F46" s="184">
        <v>-1300</v>
      </c>
      <c r="G46" s="184">
        <v>-19500</v>
      </c>
      <c r="H46" s="532"/>
      <c r="I46" s="568"/>
      <c r="J46" s="568"/>
      <c r="K46" s="532"/>
      <c r="L46" s="532"/>
      <c r="M46" s="532"/>
      <c r="N46" s="532"/>
      <c r="O46" s="532"/>
      <c r="P46" s="568"/>
      <c r="Q46" s="568"/>
      <c r="R46" s="532"/>
      <c r="S46" s="532"/>
      <c r="T46" s="532"/>
    </row>
    <row r="47" spans="1:20">
      <c r="A47" s="151"/>
      <c r="B47" s="532"/>
      <c r="C47" s="532"/>
      <c r="D47" s="532"/>
      <c r="E47" s="532" t="s">
        <v>196</v>
      </c>
      <c r="F47" s="178">
        <v>10601</v>
      </c>
      <c r="G47" s="178">
        <v>159021</v>
      </c>
      <c r="H47" s="532"/>
      <c r="I47" s="568"/>
      <c r="J47" s="568"/>
      <c r="K47" s="532"/>
      <c r="L47" s="532"/>
      <c r="M47" s="532"/>
      <c r="N47" s="532"/>
      <c r="O47" s="532"/>
      <c r="P47" s="568"/>
      <c r="Q47" s="568"/>
      <c r="R47" s="532"/>
      <c r="S47" s="532"/>
      <c r="T47" s="532"/>
    </row>
    <row r="48" spans="1:20">
      <c r="A48" s="151"/>
      <c r="B48" s="532"/>
      <c r="C48" s="532"/>
      <c r="D48" s="532"/>
      <c r="E48" s="532"/>
      <c r="F48" s="151"/>
      <c r="G48" s="151"/>
      <c r="H48" s="532"/>
      <c r="I48" s="568"/>
      <c r="J48" s="568"/>
      <c r="K48" s="532"/>
      <c r="L48" s="532"/>
      <c r="M48" s="532"/>
      <c r="N48" s="532"/>
      <c r="O48" s="532"/>
      <c r="P48" s="568"/>
      <c r="Q48" s="568"/>
      <c r="R48" s="532"/>
      <c r="S48" s="532"/>
      <c r="T48" s="532"/>
    </row>
    <row r="49" spans="1:20">
      <c r="A49" s="173" t="s">
        <v>215</v>
      </c>
      <c r="B49" s="532"/>
      <c r="C49" s="532"/>
      <c r="D49" s="532"/>
      <c r="E49" s="532"/>
      <c r="F49" s="151"/>
      <c r="G49" s="151"/>
      <c r="H49" s="532"/>
      <c r="I49" s="568"/>
      <c r="J49" s="568"/>
      <c r="K49" s="532"/>
      <c r="L49" s="532"/>
      <c r="M49" s="532"/>
      <c r="N49" s="532"/>
      <c r="O49" s="532"/>
      <c r="P49" s="568"/>
      <c r="Q49" s="568"/>
      <c r="R49" s="532"/>
      <c r="S49" s="532"/>
      <c r="T49" s="532"/>
    </row>
    <row r="50" spans="1:20" ht="15" customHeight="1">
      <c r="A50" s="174" t="s">
        <v>219</v>
      </c>
      <c r="B50" s="174" t="s">
        <v>166</v>
      </c>
      <c r="C50" s="174" t="s">
        <v>218</v>
      </c>
      <c r="D50" s="174" t="s">
        <v>168</v>
      </c>
      <c r="E50" s="174" t="s">
        <v>169</v>
      </c>
      <c r="F50" s="174" t="s">
        <v>170</v>
      </c>
      <c r="G50" s="174" t="s">
        <v>171</v>
      </c>
      <c r="H50" s="532"/>
      <c r="I50" s="568"/>
      <c r="J50" s="568"/>
      <c r="K50" s="532"/>
      <c r="L50" s="532"/>
      <c r="M50" s="532"/>
      <c r="N50" s="532"/>
      <c r="O50" s="532"/>
      <c r="P50" s="568"/>
      <c r="Q50" s="568"/>
      <c r="R50" s="532"/>
      <c r="S50" s="532"/>
      <c r="T50" s="532"/>
    </row>
    <row r="51" spans="1:20">
      <c r="A51" s="153" t="s">
        <v>194</v>
      </c>
      <c r="B51" s="152">
        <v>7.9</v>
      </c>
      <c r="C51" s="152">
        <v>300</v>
      </c>
      <c r="D51" s="176">
        <v>2380</v>
      </c>
      <c r="E51" s="177">
        <v>5</v>
      </c>
      <c r="F51" s="184">
        <v>11901</v>
      </c>
      <c r="G51" s="184">
        <v>178521</v>
      </c>
      <c r="H51" s="532"/>
      <c r="I51" s="568"/>
      <c r="J51" s="568"/>
      <c r="K51" s="532"/>
      <c r="L51" s="532"/>
      <c r="M51" s="532"/>
      <c r="N51" s="532"/>
      <c r="O51" s="532"/>
      <c r="P51" s="568"/>
      <c r="Q51" s="568"/>
      <c r="R51" s="532"/>
      <c r="S51" s="532"/>
      <c r="T51" s="532"/>
    </row>
    <row r="52" spans="1:20">
      <c r="A52" s="153" t="s">
        <v>220</v>
      </c>
      <c r="B52" s="152">
        <v>-0.31</v>
      </c>
      <c r="C52" s="152">
        <v>300</v>
      </c>
      <c r="D52" s="152">
        <v>-93</v>
      </c>
      <c r="E52" s="177">
        <v>5</v>
      </c>
      <c r="F52" s="184">
        <v>-463</v>
      </c>
      <c r="G52" s="184">
        <v>-6950</v>
      </c>
      <c r="H52" s="532"/>
      <c r="I52" s="568"/>
      <c r="J52" s="568"/>
      <c r="K52" s="532"/>
      <c r="L52" s="532"/>
      <c r="M52" s="532"/>
      <c r="N52" s="532"/>
      <c r="O52" s="532"/>
      <c r="P52" s="568"/>
      <c r="Q52" s="568"/>
      <c r="R52" s="532"/>
      <c r="S52" s="532"/>
      <c r="T52" s="532"/>
    </row>
    <row r="53" spans="1:20">
      <c r="A53" s="153" t="s">
        <v>195</v>
      </c>
      <c r="B53" s="152"/>
      <c r="C53" s="152"/>
      <c r="D53" s="152">
        <v>-65</v>
      </c>
      <c r="E53" s="177">
        <v>5</v>
      </c>
      <c r="F53" s="184">
        <v>-325</v>
      </c>
      <c r="G53" s="184">
        <v>-4875</v>
      </c>
      <c r="H53" s="532"/>
      <c r="I53" s="568"/>
      <c r="J53" s="568"/>
      <c r="K53" s="532"/>
      <c r="L53" s="532"/>
      <c r="M53" s="532"/>
      <c r="N53" s="532"/>
      <c r="O53" s="532"/>
      <c r="P53" s="568"/>
      <c r="Q53" s="568"/>
      <c r="R53" s="532"/>
      <c r="S53" s="532"/>
      <c r="T53" s="532"/>
    </row>
    <row r="54" spans="1:20">
      <c r="A54" s="151"/>
      <c r="B54" s="532"/>
      <c r="C54" s="532"/>
      <c r="D54" s="532"/>
      <c r="E54" s="532" t="s">
        <v>196</v>
      </c>
      <c r="F54" s="178">
        <v>11113</v>
      </c>
      <c r="G54" s="178">
        <v>166696</v>
      </c>
      <c r="H54" s="532"/>
      <c r="I54" s="568"/>
      <c r="J54" s="568"/>
      <c r="K54" s="532"/>
      <c r="L54" s="532"/>
      <c r="M54" s="532"/>
      <c r="N54" s="532"/>
      <c r="O54" s="532"/>
      <c r="P54" s="568"/>
      <c r="Q54" s="568"/>
      <c r="R54" s="532"/>
      <c r="S54" s="532"/>
      <c r="T54" s="532"/>
    </row>
    <row r="55" spans="1:20">
      <c r="A55" s="151"/>
      <c r="B55" s="532"/>
      <c r="C55" s="532"/>
      <c r="D55" s="532"/>
      <c r="E55" s="532"/>
      <c r="F55" s="151"/>
      <c r="G55" s="151"/>
      <c r="H55" s="532"/>
      <c r="I55" s="568"/>
      <c r="J55" s="568"/>
      <c r="K55" s="532"/>
      <c r="L55" s="532"/>
      <c r="M55" s="532"/>
      <c r="N55" s="532"/>
      <c r="O55" s="532"/>
      <c r="P55" s="568"/>
      <c r="Q55" s="568"/>
      <c r="R55" s="532"/>
      <c r="S55" s="532"/>
      <c r="T55" s="532"/>
    </row>
    <row r="56" spans="1:20">
      <c r="A56" s="151"/>
      <c r="B56" s="532"/>
      <c r="C56" s="532"/>
      <c r="D56" s="532"/>
      <c r="E56" s="532"/>
      <c r="F56" s="151"/>
      <c r="G56" s="151"/>
      <c r="H56" s="532"/>
      <c r="I56" s="568"/>
      <c r="J56" s="568"/>
      <c r="K56" s="532"/>
      <c r="L56" s="532"/>
      <c r="M56" s="532"/>
      <c r="N56" s="532"/>
      <c r="O56" s="532"/>
      <c r="P56" s="568"/>
      <c r="Q56" s="568"/>
      <c r="R56" s="532"/>
      <c r="S56" s="532"/>
      <c r="T56" s="532"/>
    </row>
    <row r="57" spans="1:20">
      <c r="A57" s="532"/>
      <c r="B57" s="532"/>
      <c r="C57" s="532"/>
      <c r="D57" s="532"/>
      <c r="E57" s="532"/>
      <c r="F57" s="532"/>
      <c r="G57" s="532"/>
      <c r="H57" s="532"/>
      <c r="I57" s="568"/>
      <c r="J57" s="568"/>
      <c r="K57" s="532"/>
      <c r="L57" s="532"/>
      <c r="M57" s="532"/>
      <c r="N57" s="532"/>
      <c r="O57" s="532"/>
      <c r="P57" s="568"/>
      <c r="Q57" s="568"/>
      <c r="R57" s="532"/>
      <c r="S57" s="532"/>
      <c r="T57" s="532"/>
    </row>
    <row r="58" spans="1:20">
      <c r="A58" s="185"/>
      <c r="B58" s="532"/>
      <c r="C58" s="532"/>
      <c r="D58" s="532"/>
      <c r="E58" s="532"/>
      <c r="F58" s="532"/>
      <c r="G58" s="532"/>
      <c r="H58" s="532"/>
      <c r="I58" s="568"/>
      <c r="J58" s="568"/>
      <c r="K58" s="532"/>
      <c r="L58" s="532"/>
      <c r="M58" s="532"/>
      <c r="N58" s="532"/>
      <c r="O58" s="532"/>
      <c r="P58" s="568"/>
      <c r="Q58" s="568"/>
      <c r="R58" s="532"/>
      <c r="S58" s="532"/>
      <c r="T58" s="532"/>
    </row>
    <row r="59" spans="1:20">
      <c r="A59" s="532"/>
      <c r="B59" s="532"/>
      <c r="C59" s="532"/>
      <c r="D59" s="532"/>
      <c r="E59" s="532"/>
      <c r="F59" s="532"/>
      <c r="G59" s="532"/>
      <c r="H59" s="532"/>
      <c r="I59" s="568"/>
      <c r="J59" s="568"/>
      <c r="K59" s="532"/>
      <c r="L59" s="532"/>
      <c r="M59" s="532"/>
      <c r="N59" s="532"/>
      <c r="O59" s="532"/>
      <c r="P59" s="568"/>
      <c r="Q59" s="568"/>
      <c r="R59" s="532"/>
      <c r="S59" s="532"/>
      <c r="T59" s="532"/>
    </row>
    <row r="60" spans="1:20">
      <c r="A60" s="532"/>
      <c r="B60" s="532"/>
      <c r="C60" s="532"/>
      <c r="D60" s="532"/>
      <c r="E60" s="532"/>
      <c r="F60" s="532"/>
      <c r="G60" s="532"/>
      <c r="H60" s="532"/>
      <c r="I60" s="568"/>
      <c r="J60" s="568"/>
      <c r="K60" s="532"/>
      <c r="L60" s="532"/>
      <c r="M60" s="532"/>
      <c r="N60" s="532"/>
      <c r="O60" s="532"/>
      <c r="P60" s="568"/>
      <c r="Q60" s="568"/>
      <c r="R60" s="532"/>
      <c r="S60" s="532"/>
      <c r="T60" s="532"/>
    </row>
    <row r="61" spans="1:20">
      <c r="A61" s="532"/>
      <c r="B61" s="532"/>
      <c r="C61" s="532"/>
      <c r="D61" s="532"/>
      <c r="E61" s="532"/>
      <c r="F61" s="532"/>
      <c r="G61" s="532"/>
      <c r="H61" s="532"/>
      <c r="I61" s="568"/>
      <c r="J61" s="568"/>
      <c r="K61" s="532"/>
      <c r="L61" s="532"/>
      <c r="M61" s="532"/>
      <c r="N61" s="532"/>
      <c r="O61" s="532"/>
      <c r="P61" s="568"/>
      <c r="Q61" s="568"/>
      <c r="R61" s="532"/>
      <c r="S61" s="532"/>
      <c r="T61" s="532"/>
    </row>
  </sheetData>
  <mergeCells count="102">
    <mergeCell ref="I59:J59"/>
    <mergeCell ref="P59:Q59"/>
    <mergeCell ref="I60:J60"/>
    <mergeCell ref="P60:Q60"/>
    <mergeCell ref="I61:J61"/>
    <mergeCell ref="P61:Q61"/>
    <mergeCell ref="I56:J56"/>
    <mergeCell ref="P56:Q56"/>
    <mergeCell ref="I57:J57"/>
    <mergeCell ref="P57:Q57"/>
    <mergeCell ref="I58:J58"/>
    <mergeCell ref="P58:Q58"/>
    <mergeCell ref="I53:J53"/>
    <mergeCell ref="P53:Q53"/>
    <mergeCell ref="I54:J54"/>
    <mergeCell ref="P54:Q54"/>
    <mergeCell ref="I55:J55"/>
    <mergeCell ref="P55:Q55"/>
    <mergeCell ref="I50:J50"/>
    <mergeCell ref="P50:Q50"/>
    <mergeCell ref="I51:J51"/>
    <mergeCell ref="P51:Q51"/>
    <mergeCell ref="I52:J52"/>
    <mergeCell ref="P52:Q52"/>
    <mergeCell ref="I47:J47"/>
    <mergeCell ref="P47:Q47"/>
    <mergeCell ref="I48:J48"/>
    <mergeCell ref="P48:Q48"/>
    <mergeCell ref="I49:J49"/>
    <mergeCell ref="P49:Q49"/>
    <mergeCell ref="I44:J44"/>
    <mergeCell ref="P44:Q44"/>
    <mergeCell ref="I45:J45"/>
    <mergeCell ref="P45:Q45"/>
    <mergeCell ref="I46:J46"/>
    <mergeCell ref="P46:Q46"/>
    <mergeCell ref="I41:J41"/>
    <mergeCell ref="P41:Q41"/>
    <mergeCell ref="I42:J42"/>
    <mergeCell ref="P42:Q42"/>
    <mergeCell ref="I43:J43"/>
    <mergeCell ref="P43:Q43"/>
    <mergeCell ref="I38:J38"/>
    <mergeCell ref="P38:Q38"/>
    <mergeCell ref="I39:J39"/>
    <mergeCell ref="P39:Q39"/>
    <mergeCell ref="I40:J40"/>
    <mergeCell ref="P40:Q40"/>
    <mergeCell ref="I35:J35"/>
    <mergeCell ref="P35:Q35"/>
    <mergeCell ref="I36:J36"/>
    <mergeCell ref="P36:Q36"/>
    <mergeCell ref="I37:J37"/>
    <mergeCell ref="P37:Q37"/>
    <mergeCell ref="I32:J32"/>
    <mergeCell ref="P32:Q32"/>
    <mergeCell ref="I33:J33"/>
    <mergeCell ref="P33:Q33"/>
    <mergeCell ref="I34:J34"/>
    <mergeCell ref="P34:Q34"/>
    <mergeCell ref="I30:J30"/>
    <mergeCell ref="P30:Q30"/>
    <mergeCell ref="I31:J31"/>
    <mergeCell ref="P31:Q31"/>
    <mergeCell ref="I26:J26"/>
    <mergeCell ref="P26:Q26"/>
    <mergeCell ref="I27:J27"/>
    <mergeCell ref="P27:Q27"/>
    <mergeCell ref="I28:J28"/>
    <mergeCell ref="P28:Q28"/>
    <mergeCell ref="I25:J25"/>
    <mergeCell ref="P25:Q25"/>
    <mergeCell ref="I10:J10"/>
    <mergeCell ref="P10:Q10"/>
    <mergeCell ref="I11:J11"/>
    <mergeCell ref="P11:Q11"/>
    <mergeCell ref="I12:J12"/>
    <mergeCell ref="P12:Q12"/>
    <mergeCell ref="I29:J29"/>
    <mergeCell ref="P29:Q29"/>
    <mergeCell ref="I9:J9"/>
    <mergeCell ref="P9:Q9"/>
    <mergeCell ref="I4:J4"/>
    <mergeCell ref="P4:Q4"/>
    <mergeCell ref="I5:J5"/>
    <mergeCell ref="P5:Q5"/>
    <mergeCell ref="I6:J6"/>
    <mergeCell ref="P6:Q6"/>
    <mergeCell ref="A13:B13"/>
    <mergeCell ref="D13:H13"/>
    <mergeCell ref="J13:O13"/>
    <mergeCell ref="Q13:T13"/>
    <mergeCell ref="I1:J1"/>
    <mergeCell ref="P1:Q1"/>
    <mergeCell ref="I2:J2"/>
    <mergeCell ref="P2:Q2"/>
    <mergeCell ref="I3:J3"/>
    <mergeCell ref="P3:Q3"/>
    <mergeCell ref="I7:J7"/>
    <mergeCell ref="P7:Q7"/>
    <mergeCell ref="I8:J8"/>
    <mergeCell ref="P8:Q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1</vt:i4>
      </vt:variant>
    </vt:vector>
  </HeadingPairs>
  <TitlesOfParts>
    <vt:vector size="35" baseType="lpstr">
      <vt:lpstr>Calculations Spreadsheet Intro</vt:lpstr>
      <vt:lpstr>VMT Reduction through Barging</vt:lpstr>
      <vt:lpstr>Calculations Explanation</vt:lpstr>
      <vt:lpstr>VMT Emissions</vt:lpstr>
      <vt:lpstr>Towing Vessel Emissions</vt:lpstr>
      <vt:lpstr>Combined Emissions Reduced VMT</vt:lpstr>
      <vt:lpstr>Rail Decarbonization</vt:lpstr>
      <vt:lpstr>Conversions to Tier4 QST30 1500</vt:lpstr>
      <vt:lpstr>Conversions to Tier3 QSK50 2000</vt:lpstr>
      <vt:lpstr>Conversions to Tier3 QSK50 2130</vt:lpstr>
      <vt:lpstr>Engine Emission Conversions</vt:lpstr>
      <vt:lpstr>Combined Emissions Reduced RD</vt:lpstr>
      <vt:lpstr>Vehicle to Grid Integration</vt:lpstr>
      <vt:lpstr>Calculations</vt:lpstr>
      <vt:lpstr>Vehicle Conversion Rate</vt:lpstr>
      <vt:lpstr>Combined Emissions Reduced VG</vt:lpstr>
      <vt:lpstr>Tribal Fleet Electrification</vt:lpstr>
      <vt:lpstr>Solar Calculations TFE</vt:lpstr>
      <vt:lpstr>Solar Emissions Estimates</vt:lpstr>
      <vt:lpstr>Reference TFE</vt:lpstr>
      <vt:lpstr>EV Calculations TFE</vt:lpstr>
      <vt:lpstr>Combined Emissions Reduced TFE</vt:lpstr>
      <vt:lpstr>Tribal Clean Energy</vt:lpstr>
      <vt:lpstr>Commerce Solar Plus Storage</vt:lpstr>
      <vt:lpstr>Emissions Reductions Estimates</vt:lpstr>
      <vt:lpstr>Reference</vt:lpstr>
      <vt:lpstr>Combined Emissions Reduced TCE</vt:lpstr>
      <vt:lpstr>Decarbonizing Campus Energy SCC</vt:lpstr>
      <vt:lpstr>Combined Emissions Reduced SCC</vt:lpstr>
      <vt:lpstr>Decarbonizing Campus Energy WWU</vt:lpstr>
      <vt:lpstr>WWU Calculations</vt:lpstr>
      <vt:lpstr>Combined Emissions Reduced WWU</vt:lpstr>
      <vt:lpstr>Anaerobic Digesters</vt:lpstr>
      <vt:lpstr>Combined Emissions Reduced AD</vt:lpstr>
      <vt:lpstr>_msoanchor_1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Vorpahl, Sarah (COM)</cp:lastModifiedBy>
  <cp:revision/>
  <dcterms:created xsi:type="dcterms:W3CDTF">2024-03-07T19:34:23Z</dcterms:created>
  <dcterms:modified xsi:type="dcterms:W3CDTF">2024-03-25T14:45:11Z</dcterms:modified>
  <cp:category/>
  <cp:contentStatus/>
</cp:coreProperties>
</file>