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defaultThemeVersion="166925"/>
  <mc:AlternateContent xmlns:mc="http://schemas.openxmlformats.org/markup-compatibility/2006">
    <mc:Choice Requires="x15">
      <x15ac:absPath xmlns:x15ac="http://schemas.microsoft.com/office/spreadsheetml/2010/11/ac" url="P:\00 VLADA\00 GRANT APPLICATIONS\2024\1. CLIMATE POLLITION - EVs &amp; CHARGERS\Calculations\"/>
    </mc:Choice>
  </mc:AlternateContent>
  <xr:revisionPtr revIDLastSave="0" documentId="13_ncr:1_{F5E621A3-2798-48A4-845B-60077BBC9DD3}" xr6:coauthVersionLast="47" xr6:coauthVersionMax="47" xr10:uidLastSave="{00000000-0000-0000-0000-000000000000}"/>
  <bookViews>
    <workbookView xWindow="0" yWindow="0" windowWidth="28800" windowHeight="12105" firstSheet="3" activeTab="3" xr2:uid="{A2C76357-AFB7-42E5-9B64-114F2D078D1F}"/>
  </bookViews>
  <sheets>
    <sheet name="Notes" sheetId="8" r:id="rId1"/>
    <sheet name="EV ghg Calcs" sheetId="3" r:id="rId2"/>
    <sheet name="Solar ghg Calcs" sheetId="4" r:id="rId3"/>
    <sheet name="Solar PV Economics" sheetId="6" r:id="rId4"/>
  </sheets>
  <definedNames>
    <definedName name="_xlnm._FilterDatabase" localSheetId="1" hidden="1">'EV ghg Calcs'!$A$9:$K$9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6" l="1"/>
  <c r="K5" i="3"/>
  <c r="D7" i="3"/>
  <c r="G23" i="6"/>
  <c r="G24" i="6" s="1"/>
  <c r="G25" i="6" s="1"/>
  <c r="G26" i="6" s="1"/>
  <c r="G27" i="6" s="1"/>
  <c r="G28" i="6" s="1"/>
  <c r="G29" i="6" s="1"/>
  <c r="G30" i="6" s="1"/>
  <c r="G31" i="6" s="1"/>
  <c r="G32" i="6" s="1"/>
  <c r="G33" i="6" s="1"/>
  <c r="G34" i="6" s="1"/>
  <c r="G35" i="6" s="1"/>
  <c r="G36" i="6" s="1"/>
  <c r="G37" i="6" s="1"/>
  <c r="G38" i="6" s="1"/>
  <c r="G39" i="6" s="1"/>
  <c r="G40" i="6" s="1"/>
  <c r="G41" i="6" s="1"/>
  <c r="G42" i="6" s="1"/>
  <c r="G43" i="6" s="1"/>
  <c r="G44" i="6" s="1"/>
  <c r="G45" i="6" s="1"/>
  <c r="G46" i="6" s="1"/>
  <c r="G47" i="6" s="1"/>
  <c r="D16" i="6"/>
  <c r="H23" i="6" s="1"/>
  <c r="N23" i="6"/>
  <c r="D7" i="6"/>
  <c r="E23" i="6"/>
  <c r="E24" i="6" l="1"/>
  <c r="E25" i="6" s="1"/>
  <c r="E26" i="6" s="1"/>
  <c r="E27" i="6" s="1"/>
  <c r="E28" i="6" s="1"/>
  <c r="E29" i="6" s="1"/>
  <c r="E30" i="6" s="1"/>
  <c r="E31" i="6" s="1"/>
  <c r="E32" i="6" s="1"/>
  <c r="E33" i="6" s="1"/>
  <c r="E34" i="6" s="1"/>
  <c r="E35" i="6" s="1"/>
  <c r="E36" i="6" s="1"/>
  <c r="E37" i="6" s="1"/>
  <c r="E38" i="6" s="1"/>
  <c r="E39" i="6" s="1"/>
  <c r="E40" i="6" s="1"/>
  <c r="E41" i="6" s="1"/>
  <c r="E42" i="6" s="1"/>
  <c r="E43" i="6" s="1"/>
  <c r="E44" i="6" s="1"/>
  <c r="E45" i="6" s="1"/>
  <c r="E46" i="6" s="1"/>
  <c r="E47" i="6" s="1"/>
  <c r="F23" i="6"/>
  <c r="N24" i="6"/>
  <c r="N25" i="6" s="1"/>
  <c r="N26" i="6" s="1"/>
  <c r="N27" i="6" s="1"/>
  <c r="N28" i="6" s="1"/>
  <c r="N29" i="6" s="1"/>
  <c r="N30" i="6" s="1"/>
  <c r="N31" i="6" s="1"/>
  <c r="N32" i="6" s="1"/>
  <c r="N33" i="6" s="1"/>
  <c r="N34" i="6" s="1"/>
  <c r="N35" i="6" s="1"/>
  <c r="N36" i="6" s="1"/>
  <c r="N37" i="6" s="1"/>
  <c r="N38" i="6" s="1"/>
  <c r="N39" i="6" s="1"/>
  <c r="N40" i="6" s="1"/>
  <c r="N41" i="6" s="1"/>
  <c r="N42" i="6" s="1"/>
  <c r="N43" i="6" s="1"/>
  <c r="O43" i="6" s="1"/>
  <c r="H24" i="6"/>
  <c r="I23" i="6"/>
  <c r="AS34" i="3"/>
  <c r="AQ34" i="3"/>
  <c r="AR34" i="3"/>
  <c r="AW34" i="3"/>
  <c r="AX34" i="3"/>
  <c r="BC34" i="3"/>
  <c r="BD34" i="3"/>
  <c r="BI34" i="3"/>
  <c r="BJ34" i="3"/>
  <c r="BH34" i="3"/>
  <c r="BB34" i="3"/>
  <c r="AV34" i="3"/>
  <c r="BG34" i="3"/>
  <c r="BA34" i="3"/>
  <c r="AU34" i="3"/>
  <c r="BL34" i="3"/>
  <c r="BF34" i="3"/>
  <c r="AZ34" i="3"/>
  <c r="AT34" i="3"/>
  <c r="BK34" i="3"/>
  <c r="BE34" i="3"/>
  <c r="AY34" i="3"/>
  <c r="N44" i="6"/>
  <c r="O44" i="6" l="1"/>
  <c r="J23" i="6"/>
  <c r="H25" i="6"/>
  <c r="I24" i="6"/>
  <c r="N45" i="6"/>
  <c r="O45" i="6" l="1"/>
  <c r="H26" i="6"/>
  <c r="I25" i="6"/>
  <c r="N46" i="6"/>
  <c r="O46" i="6" l="1"/>
  <c r="H27" i="6"/>
  <c r="I26" i="6"/>
  <c r="N47" i="6"/>
  <c r="O47" i="6" l="1"/>
  <c r="N48" i="6"/>
  <c r="H28" i="6"/>
  <c r="I27" i="6"/>
  <c r="C43" i="6"/>
  <c r="A24" i="6"/>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D4" i="6"/>
  <c r="D9" i="6" s="1"/>
  <c r="D24" i="6"/>
  <c r="D25" i="6"/>
  <c r="F25" i="6" s="1"/>
  <c r="J25" i="6" s="1"/>
  <c r="D26" i="6"/>
  <c r="F26" i="6" s="1"/>
  <c r="J26" i="6" s="1"/>
  <c r="D27" i="6"/>
  <c r="F27" i="6" s="1"/>
  <c r="D28" i="6"/>
  <c r="F28" i="6" s="1"/>
  <c r="D29" i="6"/>
  <c r="F29" i="6" s="1"/>
  <c r="D30" i="6"/>
  <c r="F30" i="6" s="1"/>
  <c r="D31" i="6"/>
  <c r="F31" i="6" s="1"/>
  <c r="D32" i="6"/>
  <c r="F32" i="6" s="1"/>
  <c r="D33" i="6"/>
  <c r="F33" i="6" s="1"/>
  <c r="D34" i="6"/>
  <c r="F34" i="6" s="1"/>
  <c r="D35" i="6"/>
  <c r="F35" i="6" s="1"/>
  <c r="D36" i="6"/>
  <c r="F36" i="6" s="1"/>
  <c r="D37" i="6"/>
  <c r="F37" i="6" s="1"/>
  <c r="D38" i="6"/>
  <c r="F38" i="6" s="1"/>
  <c r="D39" i="6"/>
  <c r="F39" i="6" s="1"/>
  <c r="D40" i="6"/>
  <c r="F40" i="6" s="1"/>
  <c r="D41" i="6"/>
  <c r="F41" i="6" s="1"/>
  <c r="D42" i="6"/>
  <c r="F42" i="6" s="1"/>
  <c r="B24" i="6"/>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E10" i="3"/>
  <c r="C16" i="4"/>
  <c r="D20" i="4"/>
  <c r="E20" i="4" s="1"/>
  <c r="F20" i="4" s="1"/>
  <c r="G20" i="4" s="1"/>
  <c r="H20" i="4" s="1"/>
  <c r="I20" i="4" s="1"/>
  <c r="J20" i="4" s="1"/>
  <c r="K20" i="4" s="1"/>
  <c r="L20" i="4" s="1"/>
  <c r="M20" i="4" s="1"/>
  <c r="N20" i="4" s="1"/>
  <c r="O20" i="4" s="1"/>
  <c r="P20" i="4" s="1"/>
  <c r="Q20" i="4" s="1"/>
  <c r="R20" i="4" s="1"/>
  <c r="S20" i="4" s="1"/>
  <c r="T20" i="4" s="1"/>
  <c r="U20" i="4" s="1"/>
  <c r="V20" i="4" s="1"/>
  <c r="W20" i="4" s="1"/>
  <c r="X20" i="4" s="1"/>
  <c r="Y20" i="4" s="1"/>
  <c r="Z20" i="4" s="1"/>
  <c r="AA20" i="4" s="1"/>
  <c r="D5" i="4"/>
  <c r="C22" i="4" s="1"/>
  <c r="D22" i="4" s="1"/>
  <c r="E22" i="4" s="1"/>
  <c r="F22" i="4" s="1"/>
  <c r="G22" i="4" s="1"/>
  <c r="H22" i="4" s="1"/>
  <c r="I22" i="4" s="1"/>
  <c r="J22" i="4" s="1"/>
  <c r="K22" i="4" s="1"/>
  <c r="L22" i="4" s="1"/>
  <c r="M22" i="4" s="1"/>
  <c r="N22" i="4" s="1"/>
  <c r="O22" i="4" s="1"/>
  <c r="P22" i="4" s="1"/>
  <c r="Q22" i="4" s="1"/>
  <c r="R22" i="4" s="1"/>
  <c r="S22" i="4" s="1"/>
  <c r="T22" i="4" s="1"/>
  <c r="U22" i="4" s="1"/>
  <c r="V22" i="4" s="1"/>
  <c r="W22" i="4" s="1"/>
  <c r="D6" i="4"/>
  <c r="C23" i="4" s="1"/>
  <c r="D23" i="4" s="1"/>
  <c r="E23" i="4" s="1"/>
  <c r="F23" i="4" s="1"/>
  <c r="G23" i="4" s="1"/>
  <c r="H23" i="4" s="1"/>
  <c r="I23" i="4" s="1"/>
  <c r="J23" i="4" s="1"/>
  <c r="K23" i="4" s="1"/>
  <c r="L23" i="4" s="1"/>
  <c r="M23" i="4" s="1"/>
  <c r="N23" i="4" s="1"/>
  <c r="O23" i="4" s="1"/>
  <c r="P23" i="4" s="1"/>
  <c r="Q23" i="4" s="1"/>
  <c r="R23" i="4" s="1"/>
  <c r="S23" i="4" s="1"/>
  <c r="T23" i="4" s="1"/>
  <c r="U23" i="4" s="1"/>
  <c r="V23" i="4" s="1"/>
  <c r="W23" i="4" s="1"/>
  <c r="X23" i="4" s="1"/>
  <c r="Y23" i="4" s="1"/>
  <c r="Z23" i="4" s="1"/>
  <c r="AA23" i="4" s="1"/>
  <c r="D7" i="4"/>
  <c r="C24" i="4" s="1"/>
  <c r="D24" i="4" s="1"/>
  <c r="E24" i="4" s="1"/>
  <c r="F24" i="4" s="1"/>
  <c r="G24" i="4" s="1"/>
  <c r="H24" i="4" s="1"/>
  <c r="I24" i="4" s="1"/>
  <c r="J24" i="4" s="1"/>
  <c r="K24" i="4" s="1"/>
  <c r="L24" i="4" s="1"/>
  <c r="M24" i="4" s="1"/>
  <c r="N24" i="4" s="1"/>
  <c r="O24" i="4" s="1"/>
  <c r="P24" i="4" s="1"/>
  <c r="Q24" i="4" s="1"/>
  <c r="R24" i="4" s="1"/>
  <c r="S24" i="4" s="1"/>
  <c r="T24" i="4" s="1"/>
  <c r="U24" i="4" s="1"/>
  <c r="V24" i="4" s="1"/>
  <c r="W24" i="4" s="1"/>
  <c r="X24" i="4" s="1"/>
  <c r="Y24" i="4" s="1"/>
  <c r="Z24" i="4" s="1"/>
  <c r="AA24" i="4" s="1"/>
  <c r="D8" i="4"/>
  <c r="C25" i="4" s="1"/>
  <c r="D25" i="4" s="1"/>
  <c r="E25" i="4" s="1"/>
  <c r="F25" i="4" s="1"/>
  <c r="G25" i="4" s="1"/>
  <c r="H25" i="4" s="1"/>
  <c r="I25" i="4" s="1"/>
  <c r="J25" i="4" s="1"/>
  <c r="K25" i="4" s="1"/>
  <c r="L25" i="4" s="1"/>
  <c r="M25" i="4" s="1"/>
  <c r="N25" i="4" s="1"/>
  <c r="O25" i="4" s="1"/>
  <c r="P25" i="4" s="1"/>
  <c r="Q25" i="4" s="1"/>
  <c r="R25" i="4" s="1"/>
  <c r="S25" i="4" s="1"/>
  <c r="T25" i="4" s="1"/>
  <c r="U25" i="4" s="1"/>
  <c r="V25" i="4" s="1"/>
  <c r="W25" i="4" s="1"/>
  <c r="X25" i="4" s="1"/>
  <c r="Y25" i="4" s="1"/>
  <c r="Z25" i="4" s="1"/>
  <c r="AA25" i="4" s="1"/>
  <c r="D9" i="4"/>
  <c r="C26" i="4" s="1"/>
  <c r="D10" i="4"/>
  <c r="C27" i="4" s="1"/>
  <c r="D27" i="4" s="1"/>
  <c r="E27" i="4" s="1"/>
  <c r="F27" i="4" s="1"/>
  <c r="G27" i="4" s="1"/>
  <c r="H27" i="4" s="1"/>
  <c r="I27" i="4" s="1"/>
  <c r="J27" i="4" s="1"/>
  <c r="K27" i="4" s="1"/>
  <c r="L27" i="4" s="1"/>
  <c r="M27" i="4" s="1"/>
  <c r="N27" i="4" s="1"/>
  <c r="O27" i="4" s="1"/>
  <c r="P27" i="4" s="1"/>
  <c r="Q27" i="4" s="1"/>
  <c r="R27" i="4" s="1"/>
  <c r="S27" i="4" s="1"/>
  <c r="T27" i="4" s="1"/>
  <c r="U27" i="4" s="1"/>
  <c r="V27" i="4" s="1"/>
  <c r="W27" i="4" s="1"/>
  <c r="X27" i="4" s="1"/>
  <c r="Y27" i="4" s="1"/>
  <c r="Z27" i="4" s="1"/>
  <c r="AA27" i="4" s="1"/>
  <c r="D11" i="4"/>
  <c r="C28" i="4" s="1"/>
  <c r="D28" i="4" s="1"/>
  <c r="E28" i="4" s="1"/>
  <c r="F28" i="4" s="1"/>
  <c r="G28" i="4" s="1"/>
  <c r="H28" i="4" s="1"/>
  <c r="I28" i="4" s="1"/>
  <c r="J28" i="4" s="1"/>
  <c r="K28" i="4" s="1"/>
  <c r="L28" i="4" s="1"/>
  <c r="M28" i="4" s="1"/>
  <c r="N28" i="4" s="1"/>
  <c r="O28" i="4" s="1"/>
  <c r="P28" i="4" s="1"/>
  <c r="Q28" i="4" s="1"/>
  <c r="R28" i="4" s="1"/>
  <c r="S28" i="4" s="1"/>
  <c r="T28" i="4" s="1"/>
  <c r="U28" i="4" s="1"/>
  <c r="V28" i="4" s="1"/>
  <c r="W28" i="4" s="1"/>
  <c r="X28" i="4" s="1"/>
  <c r="Y28" i="4" s="1"/>
  <c r="Z28" i="4" s="1"/>
  <c r="AA28" i="4" s="1"/>
  <c r="D12" i="4"/>
  <c r="C29" i="4" s="1"/>
  <c r="D29" i="4" s="1"/>
  <c r="E29" i="4" s="1"/>
  <c r="F29" i="4" s="1"/>
  <c r="G29" i="4" s="1"/>
  <c r="H29" i="4" s="1"/>
  <c r="I29" i="4" s="1"/>
  <c r="J29" i="4" s="1"/>
  <c r="K29" i="4" s="1"/>
  <c r="L29" i="4" s="1"/>
  <c r="M29" i="4" s="1"/>
  <c r="N29" i="4" s="1"/>
  <c r="O29" i="4" s="1"/>
  <c r="P29" i="4" s="1"/>
  <c r="Q29" i="4" s="1"/>
  <c r="R29" i="4" s="1"/>
  <c r="S29" i="4" s="1"/>
  <c r="T29" i="4" s="1"/>
  <c r="U29" i="4" s="1"/>
  <c r="V29" i="4" s="1"/>
  <c r="W29" i="4" s="1"/>
  <c r="X29" i="4" s="1"/>
  <c r="Y29" i="4" s="1"/>
  <c r="Z29" i="4" s="1"/>
  <c r="AA29" i="4" s="1"/>
  <c r="D13" i="4"/>
  <c r="C30" i="4" s="1"/>
  <c r="D30" i="4" s="1"/>
  <c r="E30" i="4" s="1"/>
  <c r="F30" i="4" s="1"/>
  <c r="G30" i="4" s="1"/>
  <c r="H30" i="4" s="1"/>
  <c r="I30" i="4" s="1"/>
  <c r="J30" i="4" s="1"/>
  <c r="K30" i="4" s="1"/>
  <c r="L30" i="4" s="1"/>
  <c r="M30" i="4" s="1"/>
  <c r="N30" i="4" s="1"/>
  <c r="O30" i="4" s="1"/>
  <c r="P30" i="4" s="1"/>
  <c r="Q30" i="4" s="1"/>
  <c r="R30" i="4" s="1"/>
  <c r="S30" i="4" s="1"/>
  <c r="T30" i="4" s="1"/>
  <c r="U30" i="4" s="1"/>
  <c r="V30" i="4" s="1"/>
  <c r="W30" i="4" s="1"/>
  <c r="X30" i="4" s="1"/>
  <c r="Y30" i="4" s="1"/>
  <c r="Z30" i="4" s="1"/>
  <c r="AA30" i="4" s="1"/>
  <c r="D14" i="4"/>
  <c r="C31" i="4" s="1"/>
  <c r="D31" i="4" s="1"/>
  <c r="E31" i="4" s="1"/>
  <c r="F31" i="4" s="1"/>
  <c r="G31" i="4" s="1"/>
  <c r="H31" i="4" s="1"/>
  <c r="I31" i="4" s="1"/>
  <c r="J31" i="4" s="1"/>
  <c r="K31" i="4" s="1"/>
  <c r="L31" i="4" s="1"/>
  <c r="M31" i="4" s="1"/>
  <c r="N31" i="4" s="1"/>
  <c r="O31" i="4" s="1"/>
  <c r="P31" i="4" s="1"/>
  <c r="Q31" i="4" s="1"/>
  <c r="R31" i="4" s="1"/>
  <c r="S31" i="4" s="1"/>
  <c r="T31" i="4" s="1"/>
  <c r="U31" i="4" s="1"/>
  <c r="V31" i="4" s="1"/>
  <c r="W31" i="4" s="1"/>
  <c r="X31" i="4" s="1"/>
  <c r="Y31" i="4" s="1"/>
  <c r="Z31" i="4" s="1"/>
  <c r="AA31" i="4" s="1"/>
  <c r="D15" i="4"/>
  <c r="C32" i="4" s="1"/>
  <c r="D32" i="4" s="1"/>
  <c r="E32" i="4" s="1"/>
  <c r="F32" i="4" s="1"/>
  <c r="G32" i="4" s="1"/>
  <c r="H32" i="4" s="1"/>
  <c r="I32" i="4" s="1"/>
  <c r="J32" i="4" s="1"/>
  <c r="K32" i="4" s="1"/>
  <c r="L32" i="4" s="1"/>
  <c r="M32" i="4" s="1"/>
  <c r="N32" i="4" s="1"/>
  <c r="O32" i="4" s="1"/>
  <c r="P32" i="4" s="1"/>
  <c r="Q32" i="4" s="1"/>
  <c r="R32" i="4" s="1"/>
  <c r="S32" i="4" s="1"/>
  <c r="T32" i="4" s="1"/>
  <c r="U32" i="4" s="1"/>
  <c r="V32" i="4" s="1"/>
  <c r="W32" i="4" s="1"/>
  <c r="X32" i="4" s="1"/>
  <c r="Y32" i="4" s="1"/>
  <c r="Z32" i="4" s="1"/>
  <c r="AA32" i="4" s="1"/>
  <c r="D4" i="4"/>
  <c r="C21" i="4" s="1"/>
  <c r="E11" i="3"/>
  <c r="E12" i="3"/>
  <c r="E13" i="3"/>
  <c r="E14" i="3"/>
  <c r="E15" i="3"/>
  <c r="E16" i="3"/>
  <c r="E17" i="3"/>
  <c r="E18" i="3"/>
  <c r="E19" i="3"/>
  <c r="E20" i="3"/>
  <c r="E21" i="3"/>
  <c r="E22" i="3"/>
  <c r="E23" i="3"/>
  <c r="E24" i="3"/>
  <c r="E25" i="3"/>
  <c r="E26" i="3"/>
  <c r="E27" i="3"/>
  <c r="E28" i="3"/>
  <c r="E29" i="3"/>
  <c r="E30" i="3"/>
  <c r="M30" i="3" s="1"/>
  <c r="E31" i="3"/>
  <c r="E32" i="3"/>
  <c r="E33" i="3"/>
  <c r="D21" i="4" l="1"/>
  <c r="E21" i="4" s="1"/>
  <c r="C33" i="4"/>
  <c r="C34" i="4" s="1"/>
  <c r="C35" i="4" s="1"/>
  <c r="X22" i="4"/>
  <c r="Y22" i="4" s="1"/>
  <c r="Z22" i="4" s="1"/>
  <c r="AA22" i="4" s="1"/>
  <c r="F24" i="6"/>
  <c r="D43" i="6"/>
  <c r="J27" i="6"/>
  <c r="H29" i="6"/>
  <c r="I28" i="6"/>
  <c r="AY32" i="3"/>
  <c r="BG32" i="3"/>
  <c r="AR32" i="3"/>
  <c r="AZ32" i="3"/>
  <c r="BH32" i="3"/>
  <c r="AQ32" i="3"/>
  <c r="AS32" i="3"/>
  <c r="BA32" i="3"/>
  <c r="BI32" i="3"/>
  <c r="AU32" i="3"/>
  <c r="BC32" i="3"/>
  <c r="BK32" i="3"/>
  <c r="AV32" i="3"/>
  <c r="BL32" i="3"/>
  <c r="BJ32" i="3"/>
  <c r="AW32" i="3"/>
  <c r="BB32" i="3"/>
  <c r="AX32" i="3"/>
  <c r="AP32" i="3"/>
  <c r="BD32" i="3"/>
  <c r="BE32" i="3"/>
  <c r="AT32" i="3"/>
  <c r="BF32" i="3"/>
  <c r="AY24" i="3"/>
  <c r="BG24" i="3"/>
  <c r="AR24" i="3"/>
  <c r="AZ24" i="3"/>
  <c r="BH24" i="3"/>
  <c r="AQ24" i="3"/>
  <c r="AS24" i="3"/>
  <c r="BA24" i="3"/>
  <c r="BI24" i="3"/>
  <c r="AU24" i="3"/>
  <c r="BC24" i="3"/>
  <c r="BK24" i="3"/>
  <c r="BD24" i="3"/>
  <c r="BL24" i="3"/>
  <c r="BE24" i="3"/>
  <c r="AV24" i="3"/>
  <c r="AW24" i="3"/>
  <c r="BF24" i="3"/>
  <c r="BB24" i="3"/>
  <c r="AT24" i="3"/>
  <c r="BJ24" i="3"/>
  <c r="AX24" i="3"/>
  <c r="AX16" i="3"/>
  <c r="BF16" i="3"/>
  <c r="AS16" i="3"/>
  <c r="BI16" i="3"/>
  <c r="AY16" i="3"/>
  <c r="BG16" i="3"/>
  <c r="AQ16" i="3"/>
  <c r="BA16" i="3"/>
  <c r="AR16" i="3"/>
  <c r="AZ16" i="3"/>
  <c r="BH16" i="3"/>
  <c r="AO16" i="3"/>
  <c r="AT16" i="3"/>
  <c r="BB16" i="3"/>
  <c r="BJ16" i="3"/>
  <c r="BL16" i="3"/>
  <c r="AU16" i="3"/>
  <c r="AP16" i="3"/>
  <c r="AV16" i="3"/>
  <c r="AW16" i="3"/>
  <c r="BD16" i="3"/>
  <c r="BC16" i="3"/>
  <c r="BE16" i="3"/>
  <c r="BK16" i="3"/>
  <c r="AR14" i="3"/>
  <c r="AZ14" i="3"/>
  <c r="BH14" i="3"/>
  <c r="AO14" i="3"/>
  <c r="AU14" i="3"/>
  <c r="BK14" i="3"/>
  <c r="AS14" i="3"/>
  <c r="BA14" i="3"/>
  <c r="BI14" i="3"/>
  <c r="BC14" i="3"/>
  <c r="AT14" i="3"/>
  <c r="BB14" i="3"/>
  <c r="BJ14" i="3"/>
  <c r="AP14" i="3"/>
  <c r="AV14" i="3"/>
  <c r="BD14" i="3"/>
  <c r="BL14" i="3"/>
  <c r="AW14" i="3"/>
  <c r="AQ14" i="3"/>
  <c r="AX14" i="3"/>
  <c r="AY14" i="3"/>
  <c r="BE14" i="3"/>
  <c r="BF14" i="3"/>
  <c r="BG14" i="3"/>
  <c r="AX29" i="3"/>
  <c r="BF29" i="3"/>
  <c r="AY29" i="3"/>
  <c r="BG29" i="3"/>
  <c r="AR29" i="3"/>
  <c r="AZ29" i="3"/>
  <c r="BH29" i="3"/>
  <c r="AT29" i="3"/>
  <c r="BB29" i="3"/>
  <c r="BJ29" i="3"/>
  <c r="AU29" i="3"/>
  <c r="BK29" i="3"/>
  <c r="AV29" i="3"/>
  <c r="BL29" i="3"/>
  <c r="AQ29" i="3"/>
  <c r="BC29" i="3"/>
  <c r="AP29" i="3"/>
  <c r="AW29" i="3"/>
  <c r="BA29" i="3"/>
  <c r="BD29" i="3"/>
  <c r="AS29" i="3"/>
  <c r="BI29" i="3"/>
  <c r="BE29" i="3"/>
  <c r="AX21" i="3"/>
  <c r="BF21" i="3"/>
  <c r="BA21" i="3"/>
  <c r="AY21" i="3"/>
  <c r="BG21" i="3"/>
  <c r="BI21" i="3"/>
  <c r="AR21" i="3"/>
  <c r="AZ21" i="3"/>
  <c r="BH21" i="3"/>
  <c r="AS21" i="3"/>
  <c r="AT21" i="3"/>
  <c r="BB21" i="3"/>
  <c r="BJ21" i="3"/>
  <c r="AU21" i="3"/>
  <c r="AQ21" i="3"/>
  <c r="BE21" i="3"/>
  <c r="BL21" i="3"/>
  <c r="AV21" i="3"/>
  <c r="AW21" i="3"/>
  <c r="BC21" i="3"/>
  <c r="BD21" i="3"/>
  <c r="BK21" i="3"/>
  <c r="AP21" i="3"/>
  <c r="AN13" i="3"/>
  <c r="AW13" i="3"/>
  <c r="BE13" i="3"/>
  <c r="AR13" i="3"/>
  <c r="AZ13" i="3"/>
  <c r="AX13" i="3"/>
  <c r="BF13" i="3"/>
  <c r="AP13" i="3"/>
  <c r="BH13" i="3"/>
  <c r="AY13" i="3"/>
  <c r="BG13" i="3"/>
  <c r="AS13" i="3"/>
  <c r="BA13" i="3"/>
  <c r="BI13" i="3"/>
  <c r="BK13" i="3"/>
  <c r="BC13" i="3"/>
  <c r="AT13" i="3"/>
  <c r="BL13" i="3"/>
  <c r="AU13" i="3"/>
  <c r="AV13" i="3"/>
  <c r="BB13" i="3"/>
  <c r="BD13" i="3"/>
  <c r="AQ13" i="3"/>
  <c r="AO13" i="3"/>
  <c r="BJ13" i="3"/>
  <c r="AU20" i="3"/>
  <c r="BC20" i="3"/>
  <c r="BK20" i="3"/>
  <c r="AX20" i="3"/>
  <c r="AV20" i="3"/>
  <c r="BD20" i="3"/>
  <c r="BL20" i="3"/>
  <c r="BF20" i="3"/>
  <c r="AW20" i="3"/>
  <c r="BE20" i="3"/>
  <c r="AY20" i="3"/>
  <c r="BG20" i="3"/>
  <c r="AS20" i="3"/>
  <c r="AT20" i="3"/>
  <c r="AZ20" i="3"/>
  <c r="AQ20" i="3"/>
  <c r="BB20" i="3"/>
  <c r="AP20" i="3"/>
  <c r="BA20" i="3"/>
  <c r="BH20" i="3"/>
  <c r="BI20" i="3"/>
  <c r="AR20" i="3"/>
  <c r="BJ20" i="3"/>
  <c r="AT33" i="3"/>
  <c r="BB33" i="3"/>
  <c r="BJ33" i="3"/>
  <c r="AU33" i="3"/>
  <c r="BC33" i="3"/>
  <c r="BK33" i="3"/>
  <c r="AV33" i="3"/>
  <c r="BD33" i="3"/>
  <c r="BL33" i="3"/>
  <c r="AQ33" i="3"/>
  <c r="AX33" i="3"/>
  <c r="BF33" i="3"/>
  <c r="BG33" i="3"/>
  <c r="AW33" i="3"/>
  <c r="AR33" i="3"/>
  <c r="BH33" i="3"/>
  <c r="AY33" i="3"/>
  <c r="BE33" i="3"/>
  <c r="AS33" i="3"/>
  <c r="BI33" i="3"/>
  <c r="AZ33" i="3"/>
  <c r="BA33" i="3"/>
  <c r="AT25" i="3"/>
  <c r="BB25" i="3"/>
  <c r="BJ25" i="3"/>
  <c r="AU25" i="3"/>
  <c r="BC25" i="3"/>
  <c r="BK25" i="3"/>
  <c r="AV25" i="3"/>
  <c r="BD25" i="3"/>
  <c r="BL25" i="3"/>
  <c r="AQ25" i="3"/>
  <c r="AX25" i="3"/>
  <c r="BF25" i="3"/>
  <c r="AY25" i="3"/>
  <c r="BH25" i="3"/>
  <c r="AZ25" i="3"/>
  <c r="BA25" i="3"/>
  <c r="BE25" i="3"/>
  <c r="AR25" i="3"/>
  <c r="AW25" i="3"/>
  <c r="BG25" i="3"/>
  <c r="AS25" i="3"/>
  <c r="BI25" i="3"/>
  <c r="AS17" i="3"/>
  <c r="BA17" i="3"/>
  <c r="BI17" i="3"/>
  <c r="AP17" i="3"/>
  <c r="BL17" i="3"/>
  <c r="AT17" i="3"/>
  <c r="BB17" i="3"/>
  <c r="BJ17" i="3"/>
  <c r="BD17" i="3"/>
  <c r="AU17" i="3"/>
  <c r="BC17" i="3"/>
  <c r="BK17" i="3"/>
  <c r="AQ17" i="3"/>
  <c r="AV17" i="3"/>
  <c r="AW17" i="3"/>
  <c r="BE17" i="3"/>
  <c r="AZ17" i="3"/>
  <c r="BF17" i="3"/>
  <c r="AR17" i="3"/>
  <c r="AX17" i="3"/>
  <c r="AY17" i="3"/>
  <c r="BG17" i="3"/>
  <c r="BH17" i="3"/>
  <c r="S24" i="3"/>
  <c r="AV10" i="3"/>
  <c r="BD10" i="3"/>
  <c r="BL10" i="3"/>
  <c r="BG10" i="3"/>
  <c r="AW10" i="3"/>
  <c r="BE10" i="3"/>
  <c r="AY10" i="3"/>
  <c r="AX10" i="3"/>
  <c r="BF10" i="3"/>
  <c r="AR10" i="3"/>
  <c r="AZ10" i="3"/>
  <c r="BH10" i="3"/>
  <c r="BJ10" i="3"/>
  <c r="AP10" i="3"/>
  <c r="AS10" i="3"/>
  <c r="BK10" i="3"/>
  <c r="AT10" i="3"/>
  <c r="AU10" i="3"/>
  <c r="AQ10" i="3"/>
  <c r="BB10" i="3"/>
  <c r="AO10" i="3"/>
  <c r="BA10" i="3"/>
  <c r="BC10" i="3"/>
  <c r="BI10" i="3"/>
  <c r="AV31" i="3"/>
  <c r="BD31" i="3"/>
  <c r="BL31" i="3"/>
  <c r="AQ31" i="3"/>
  <c r="AW31" i="3"/>
  <c r="BE31" i="3"/>
  <c r="AX31" i="3"/>
  <c r="BF31" i="3"/>
  <c r="AR31" i="3"/>
  <c r="AZ31" i="3"/>
  <c r="BH31" i="3"/>
  <c r="AP31" i="3"/>
  <c r="BA31" i="3"/>
  <c r="BI31" i="3"/>
  <c r="BJ31" i="3"/>
  <c r="BB31" i="3"/>
  <c r="BC31" i="3"/>
  <c r="AT31" i="3"/>
  <c r="BG31" i="3"/>
  <c r="AS31" i="3"/>
  <c r="AU31" i="3"/>
  <c r="BK31" i="3"/>
  <c r="AY31" i="3"/>
  <c r="AV23" i="3"/>
  <c r="BD23" i="3"/>
  <c r="BL23" i="3"/>
  <c r="AQ23" i="3"/>
  <c r="AW23" i="3"/>
  <c r="BE23" i="3"/>
  <c r="AX23" i="3"/>
  <c r="BF23" i="3"/>
  <c r="AR23" i="3"/>
  <c r="AZ23" i="3"/>
  <c r="BH23" i="3"/>
  <c r="AS23" i="3"/>
  <c r="BI23" i="3"/>
  <c r="AT23" i="3"/>
  <c r="BJ23" i="3"/>
  <c r="AY23" i="3"/>
  <c r="AU23" i="3"/>
  <c r="BK23" i="3"/>
  <c r="BB23" i="3"/>
  <c r="BA23" i="3"/>
  <c r="BC23" i="3"/>
  <c r="BG23" i="3"/>
  <c r="AU15" i="3"/>
  <c r="BC15" i="3"/>
  <c r="BK15" i="3"/>
  <c r="AQ15" i="3"/>
  <c r="AV15" i="3"/>
  <c r="BD15" i="3"/>
  <c r="BL15" i="3"/>
  <c r="AO15" i="3"/>
  <c r="BF15" i="3"/>
  <c r="AW15" i="3"/>
  <c r="BE15" i="3"/>
  <c r="AX15" i="3"/>
  <c r="AY15" i="3"/>
  <c r="BG15" i="3"/>
  <c r="AR15" i="3"/>
  <c r="BJ15" i="3"/>
  <c r="AS15" i="3"/>
  <c r="AP15" i="3"/>
  <c r="BB15" i="3"/>
  <c r="AT15" i="3"/>
  <c r="AZ15" i="3"/>
  <c r="BA15" i="3"/>
  <c r="BH15" i="3"/>
  <c r="BI15" i="3"/>
  <c r="AS30" i="3"/>
  <c r="BA30" i="3"/>
  <c r="BI30" i="3"/>
  <c r="AT30" i="3"/>
  <c r="BB30" i="3"/>
  <c r="BJ30" i="3"/>
  <c r="AU30" i="3"/>
  <c r="BC30" i="3"/>
  <c r="BK30" i="3"/>
  <c r="AW30" i="3"/>
  <c r="BE30" i="3"/>
  <c r="BF30" i="3"/>
  <c r="AV30" i="3"/>
  <c r="BG30" i="3"/>
  <c r="AY30" i="3"/>
  <c r="AR30" i="3"/>
  <c r="BH30" i="3"/>
  <c r="AQ30" i="3"/>
  <c r="BL30" i="3"/>
  <c r="BD30" i="3"/>
  <c r="AX30" i="3"/>
  <c r="AZ30" i="3"/>
  <c r="AS22" i="3"/>
  <c r="BA22" i="3"/>
  <c r="BI22" i="3"/>
  <c r="AT22" i="3"/>
  <c r="BB22" i="3"/>
  <c r="BJ22" i="3"/>
  <c r="AU22" i="3"/>
  <c r="BC22" i="3"/>
  <c r="BK22" i="3"/>
  <c r="AV22" i="3"/>
  <c r="BL22" i="3"/>
  <c r="AW22" i="3"/>
  <c r="BE22" i="3"/>
  <c r="AR22" i="3"/>
  <c r="AZ22" i="3"/>
  <c r="AX22" i="3"/>
  <c r="BF22" i="3"/>
  <c r="AY22" i="3"/>
  <c r="AQ22" i="3"/>
  <c r="BD22" i="3"/>
  <c r="BH22" i="3"/>
  <c r="AP22" i="3"/>
  <c r="BG22" i="3"/>
  <c r="AU28" i="3"/>
  <c r="BC28" i="3"/>
  <c r="BK28" i="3"/>
  <c r="AV28" i="3"/>
  <c r="BD28" i="3"/>
  <c r="BL28" i="3"/>
  <c r="AW28" i="3"/>
  <c r="BE28" i="3"/>
  <c r="AY28" i="3"/>
  <c r="BG28" i="3"/>
  <c r="AZ28" i="3"/>
  <c r="AQ28" i="3"/>
  <c r="BH28" i="3"/>
  <c r="BI28" i="3"/>
  <c r="AX28" i="3"/>
  <c r="BA28" i="3"/>
  <c r="BF28" i="3"/>
  <c r="BB28" i="3"/>
  <c r="AR28" i="3"/>
  <c r="AP28" i="3"/>
  <c r="AS28" i="3"/>
  <c r="AT28" i="3"/>
  <c r="BJ28" i="3"/>
  <c r="AT12" i="3"/>
  <c r="BB12" i="3"/>
  <c r="BJ12" i="3"/>
  <c r="AP12" i="3"/>
  <c r="AW12" i="3"/>
  <c r="AU12" i="3"/>
  <c r="BC12" i="3"/>
  <c r="BK12" i="3"/>
  <c r="BE12" i="3"/>
  <c r="AV12" i="3"/>
  <c r="BD12" i="3"/>
  <c r="BL12" i="3"/>
  <c r="AX12" i="3"/>
  <c r="BF12" i="3"/>
  <c r="BI12" i="3"/>
  <c r="AQ12" i="3"/>
  <c r="AR12" i="3"/>
  <c r="BA12" i="3"/>
  <c r="AS12" i="3"/>
  <c r="AY12" i="3"/>
  <c r="AO12" i="3"/>
  <c r="AZ12" i="3"/>
  <c r="BG12" i="3"/>
  <c r="BH12" i="3"/>
  <c r="AR27" i="3"/>
  <c r="AZ27" i="3"/>
  <c r="BH27" i="3"/>
  <c r="AS27" i="3"/>
  <c r="BA27" i="3"/>
  <c r="BI27" i="3"/>
  <c r="AT27" i="3"/>
  <c r="BB27" i="3"/>
  <c r="BJ27" i="3"/>
  <c r="AV27" i="3"/>
  <c r="BD27" i="3"/>
  <c r="BL27" i="3"/>
  <c r="AQ27" i="3"/>
  <c r="BE27" i="3"/>
  <c r="BF27" i="3"/>
  <c r="AW27" i="3"/>
  <c r="AX27" i="3"/>
  <c r="BG27" i="3"/>
  <c r="AU27" i="3"/>
  <c r="BK27" i="3"/>
  <c r="AY27" i="3"/>
  <c r="AP27" i="3"/>
  <c r="BC27" i="3"/>
  <c r="AZ19" i="3"/>
  <c r="BH19" i="3"/>
  <c r="AT19" i="3"/>
  <c r="AR19" i="3"/>
  <c r="BA19" i="3"/>
  <c r="BI19" i="3"/>
  <c r="BC19" i="3"/>
  <c r="AV19" i="3"/>
  <c r="AS19" i="3"/>
  <c r="BB19" i="3"/>
  <c r="BJ19" i="3"/>
  <c r="AP19" i="3"/>
  <c r="BK19" i="3"/>
  <c r="AU19" i="3"/>
  <c r="BD19" i="3"/>
  <c r="BL19" i="3"/>
  <c r="AW19" i="3"/>
  <c r="AQ19" i="3"/>
  <c r="AX19" i="3"/>
  <c r="BF19" i="3"/>
  <c r="AY19" i="3"/>
  <c r="BE19" i="3"/>
  <c r="BG19" i="3"/>
  <c r="AY11" i="3"/>
  <c r="BG11" i="3"/>
  <c r="AT11" i="3"/>
  <c r="BB11" i="3"/>
  <c r="BJ11" i="3"/>
  <c r="AR11" i="3"/>
  <c r="AZ11" i="3"/>
  <c r="BH11" i="3"/>
  <c r="AS11" i="3"/>
  <c r="BA11" i="3"/>
  <c r="BI11" i="3"/>
  <c r="AU11" i="3"/>
  <c r="BC11" i="3"/>
  <c r="BK11" i="3"/>
  <c r="BL11" i="3"/>
  <c r="AQ11" i="3"/>
  <c r="AP11" i="3"/>
  <c r="AV11" i="3"/>
  <c r="BD11" i="3"/>
  <c r="AW11" i="3"/>
  <c r="AX11" i="3"/>
  <c r="AO11" i="3"/>
  <c r="BE11" i="3"/>
  <c r="BF11" i="3"/>
  <c r="AW26" i="3"/>
  <c r="BE26" i="3"/>
  <c r="AX26" i="3"/>
  <c r="BF26" i="3"/>
  <c r="AY26" i="3"/>
  <c r="BG26" i="3"/>
  <c r="AS26" i="3"/>
  <c r="BA26" i="3"/>
  <c r="BI26" i="3"/>
  <c r="AT26" i="3"/>
  <c r="BJ26" i="3"/>
  <c r="BB26" i="3"/>
  <c r="AU26" i="3"/>
  <c r="BK26" i="3"/>
  <c r="BH26" i="3"/>
  <c r="AV26" i="3"/>
  <c r="BL26" i="3"/>
  <c r="AZ26" i="3"/>
  <c r="BC26" i="3"/>
  <c r="BD26" i="3"/>
  <c r="AR26" i="3"/>
  <c r="AQ26" i="3"/>
  <c r="AV18" i="3"/>
  <c r="BD18" i="3"/>
  <c r="BL18" i="3"/>
  <c r="AW18" i="3"/>
  <c r="BE18" i="3"/>
  <c r="AP18" i="3"/>
  <c r="AY18" i="3"/>
  <c r="AX18" i="3"/>
  <c r="BF18" i="3"/>
  <c r="BG18" i="3"/>
  <c r="AR18" i="3"/>
  <c r="AZ18" i="3"/>
  <c r="BH18" i="3"/>
  <c r="AS18" i="3"/>
  <c r="BK18" i="3"/>
  <c r="AQ18" i="3"/>
  <c r="AT18" i="3"/>
  <c r="BB18" i="3"/>
  <c r="BC18" i="3"/>
  <c r="AU18" i="3"/>
  <c r="BA18" i="3"/>
  <c r="BI18" i="3"/>
  <c r="BJ18" i="3"/>
  <c r="AI10" i="3"/>
  <c r="L23" i="6"/>
  <c r="C44" i="6"/>
  <c r="D44" i="6"/>
  <c r="F44" i="6" s="1"/>
  <c r="R18" i="3"/>
  <c r="M10" i="3"/>
  <c r="N25" i="3"/>
  <c r="AK18" i="3"/>
  <c r="AF18" i="3"/>
  <c r="AP33" i="3"/>
  <c r="R12" i="3"/>
  <c r="AB32" i="3"/>
  <c r="AI16" i="3"/>
  <c r="AF30" i="3"/>
  <c r="X24" i="3"/>
  <c r="AM24" i="3"/>
  <c r="AO21" i="3"/>
  <c r="AN19" i="3"/>
  <c r="V28" i="3"/>
  <c r="AG19" i="3"/>
  <c r="AL13" i="3"/>
  <c r="AM13" i="3"/>
  <c r="AL26" i="3"/>
  <c r="AC19" i="3"/>
  <c r="AJ13" i="3"/>
  <c r="AN12" i="3"/>
  <c r="X21" i="3"/>
  <c r="AI25" i="3"/>
  <c r="V19" i="3"/>
  <c r="P13" i="3"/>
  <c r="W28" i="3"/>
  <c r="AH25" i="3"/>
  <c r="AL18" i="3"/>
  <c r="AF12" i="3"/>
  <c r="AO19" i="3"/>
  <c r="AG10" i="3"/>
  <c r="AI31" i="3"/>
  <c r="W31" i="3"/>
  <c r="AD30" i="3"/>
  <c r="N27" i="3"/>
  <c r="AG25" i="3"/>
  <c r="AC21" i="3"/>
  <c r="AB19" i="3"/>
  <c r="AJ18" i="3"/>
  <c r="AC16" i="3"/>
  <c r="AH13" i="3"/>
  <c r="AM30" i="3"/>
  <c r="AN18" i="3"/>
  <c r="AN11" i="3"/>
  <c r="AP25" i="3"/>
  <c r="Z31" i="3"/>
  <c r="AE30" i="3"/>
  <c r="AN30" i="3"/>
  <c r="AM19" i="3"/>
  <c r="V10" i="3"/>
  <c r="AH31" i="3"/>
  <c r="T31" i="3"/>
  <c r="AB30" i="3"/>
  <c r="M27" i="3"/>
  <c r="V25" i="3"/>
  <c r="Y21" i="3"/>
  <c r="W19" i="3"/>
  <c r="AI18" i="3"/>
  <c r="Z15" i="3"/>
  <c r="Z13" i="3"/>
  <c r="AN25" i="3"/>
  <c r="AM18" i="3"/>
  <c r="AO31" i="3"/>
  <c r="AO25" i="3"/>
  <c r="AH10" i="3"/>
  <c r="Y30" i="3"/>
  <c r="AN15" i="3"/>
  <c r="AP23" i="3"/>
  <c r="S10" i="3"/>
  <c r="AF31" i="3"/>
  <c r="P31" i="3"/>
  <c r="N30" i="3"/>
  <c r="AJ26" i="3"/>
  <c r="AL24" i="3"/>
  <c r="T21" i="3"/>
  <c r="U19" i="3"/>
  <c r="AE18" i="3"/>
  <c r="X15" i="3"/>
  <c r="AK12" i="3"/>
  <c r="AN33" i="3"/>
  <c r="AN23" i="3"/>
  <c r="AM15" i="3"/>
  <c r="AO30" i="3"/>
  <c r="AM31" i="3"/>
  <c r="X31" i="3"/>
  <c r="AG31" i="3"/>
  <c r="N10" i="3"/>
  <c r="AD31" i="3"/>
  <c r="O31" i="3"/>
  <c r="P26" i="3"/>
  <c r="AJ24" i="3"/>
  <c r="AJ19" i="3"/>
  <c r="P19" i="3"/>
  <c r="T18" i="3"/>
  <c r="T14" i="3"/>
  <c r="AJ12" i="3"/>
  <c r="AM33" i="3"/>
  <c r="AM22" i="3"/>
  <c r="AM14" i="3"/>
  <c r="AN14" i="3"/>
  <c r="R31" i="3"/>
  <c r="Y15" i="3"/>
  <c r="AL10" i="3"/>
  <c r="AC31" i="3"/>
  <c r="N31" i="3"/>
  <c r="AH29" i="3"/>
  <c r="N26" i="3"/>
  <c r="AI24" i="3"/>
  <c r="AH19" i="3"/>
  <c r="N19" i="3"/>
  <c r="S18" i="3"/>
  <c r="N14" i="3"/>
  <c r="AI12" i="3"/>
  <c r="AN32" i="3"/>
  <c r="AN20" i="3"/>
  <c r="AP30" i="3"/>
  <c r="D16" i="4"/>
  <c r="D26" i="4"/>
  <c r="E26" i="4" s="1"/>
  <c r="F26" i="4" s="1"/>
  <c r="G26" i="4" s="1"/>
  <c r="H26" i="4" s="1"/>
  <c r="I26" i="4" s="1"/>
  <c r="J26" i="4" s="1"/>
  <c r="K26" i="4" s="1"/>
  <c r="L26" i="4" s="1"/>
  <c r="M26" i="4" s="1"/>
  <c r="N26" i="4" s="1"/>
  <c r="O26" i="4" s="1"/>
  <c r="P26" i="4" s="1"/>
  <c r="Q26" i="4" s="1"/>
  <c r="R26" i="4" s="1"/>
  <c r="S26" i="4" s="1"/>
  <c r="T26" i="4" s="1"/>
  <c r="U26" i="4" s="1"/>
  <c r="V26" i="4" s="1"/>
  <c r="W26" i="4" s="1"/>
  <c r="X26" i="4" s="1"/>
  <c r="Y26" i="4" s="1"/>
  <c r="Z26" i="4" s="1"/>
  <c r="AA26" i="4" s="1"/>
  <c r="F21" i="4"/>
  <c r="AF17" i="3"/>
  <c r="AM17" i="3"/>
  <c r="N17" i="3"/>
  <c r="AN17" i="3"/>
  <c r="T17" i="3"/>
  <c r="U17" i="3"/>
  <c r="AG29" i="3"/>
  <c r="AN28" i="3"/>
  <c r="AA28" i="3"/>
  <c r="T28" i="3"/>
  <c r="AB28" i="3"/>
  <c r="AC28" i="3"/>
  <c r="V29" i="3"/>
  <c r="R28" i="3"/>
  <c r="AB16" i="3"/>
  <c r="Y27" i="3"/>
  <c r="AO27" i="3"/>
  <c r="AE27" i="3"/>
  <c r="R27" i="3"/>
  <c r="AD27" i="3"/>
  <c r="AF27" i="3"/>
  <c r="T29" i="3"/>
  <c r="AA16" i="3"/>
  <c r="Q15" i="3"/>
  <c r="AD10" i="3"/>
  <c r="W10" i="3"/>
  <c r="O10" i="3"/>
  <c r="AM10" i="3"/>
  <c r="AC10" i="3"/>
  <c r="AE10" i="3"/>
  <c r="W26" i="3"/>
  <c r="O26" i="3"/>
  <c r="AG26" i="3"/>
  <c r="X26" i="3"/>
  <c r="AO26" i="3"/>
  <c r="AE26" i="3"/>
  <c r="AP26" i="3"/>
  <c r="AF26" i="3"/>
  <c r="W14" i="3"/>
  <c r="P14" i="3"/>
  <c r="AL14" i="3"/>
  <c r="AE14" i="3"/>
  <c r="O14" i="3"/>
  <c r="S14" i="3"/>
  <c r="R29" i="3"/>
  <c r="AL27" i="3"/>
  <c r="AH26" i="3"/>
  <c r="S21" i="3"/>
  <c r="AL17" i="3"/>
  <c r="AH14" i="3"/>
  <c r="M25" i="3"/>
  <c r="W25" i="3"/>
  <c r="AD25" i="3"/>
  <c r="Q25" i="3"/>
  <c r="AJ25" i="3"/>
  <c r="AM25" i="3"/>
  <c r="R25" i="3"/>
  <c r="AL25" i="3"/>
  <c r="M13" i="3"/>
  <c r="W13" i="3"/>
  <c r="X13" i="3"/>
  <c r="N13" i="3"/>
  <c r="AI13" i="3"/>
  <c r="U13" i="3"/>
  <c r="V13" i="3"/>
  <c r="AF10" i="3"/>
  <c r="O29" i="3"/>
  <c r="AK27" i="3"/>
  <c r="AC25" i="3"/>
  <c r="N21" i="3"/>
  <c r="AK17" i="3"/>
  <c r="W16" i="3"/>
  <c r="AG14" i="3"/>
  <c r="AG13" i="3"/>
  <c r="AO28" i="3"/>
  <c r="T24" i="3"/>
  <c r="W24" i="3"/>
  <c r="AO24" i="3"/>
  <c r="AK24" i="3"/>
  <c r="AP24" i="3"/>
  <c r="AN24" i="3"/>
  <c r="AD12" i="3"/>
  <c r="AE12" i="3"/>
  <c r="M12" i="3"/>
  <c r="AB10" i="3"/>
  <c r="N29" i="3"/>
  <c r="AJ27" i="3"/>
  <c r="AA26" i="3"/>
  <c r="AB25" i="3"/>
  <c r="N24" i="3"/>
  <c r="M21" i="3"/>
  <c r="AH17" i="3"/>
  <c r="V16" i="3"/>
  <c r="AF14" i="3"/>
  <c r="N12" i="3"/>
  <c r="AM20" i="3"/>
  <c r="AM12" i="3"/>
  <c r="AA10" i="3"/>
  <c r="M29" i="3"/>
  <c r="AH27" i="3"/>
  <c r="Z26" i="3"/>
  <c r="Z25" i="3"/>
  <c r="M24" i="3"/>
  <c r="S20" i="3"/>
  <c r="Z17" i="3"/>
  <c r="O16" i="3"/>
  <c r="AB14" i="3"/>
  <c r="AC13" i="3"/>
  <c r="AN10" i="3"/>
  <c r="AM28" i="3"/>
  <c r="AA29" i="3"/>
  <c r="AO29" i="3"/>
  <c r="AM29" i="3"/>
  <c r="U29" i="3"/>
  <c r="AN29" i="3"/>
  <c r="P29" i="3"/>
  <c r="AD29" i="3"/>
  <c r="AF29" i="3"/>
  <c r="T15" i="3"/>
  <c r="AK15" i="3"/>
  <c r="AE15" i="3"/>
  <c r="M15" i="3"/>
  <c r="N15" i="3"/>
  <c r="X16" i="3"/>
  <c r="AM21" i="3"/>
  <c r="AB26" i="3"/>
  <c r="AD13" i="3"/>
  <c r="AC22" i="3"/>
  <c r="AO22" i="3"/>
  <c r="AN22" i="3"/>
  <c r="AB22" i="3"/>
  <c r="Z10" i="3"/>
  <c r="AJ28" i="3"/>
  <c r="AC27" i="3"/>
  <c r="V26" i="3"/>
  <c r="X25" i="3"/>
  <c r="AK21" i="3"/>
  <c r="Y17" i="3"/>
  <c r="AJ15" i="3"/>
  <c r="AA14" i="3"/>
  <c r="AB13" i="3"/>
  <c r="AN27" i="3"/>
  <c r="AN16" i="3"/>
  <c r="AD16" i="3"/>
  <c r="Q16" i="3"/>
  <c r="R16" i="3"/>
  <c r="P28" i="3"/>
  <c r="N33" i="3"/>
  <c r="AJ33" i="3"/>
  <c r="U21" i="3"/>
  <c r="Z21" i="3"/>
  <c r="AN21" i="3"/>
  <c r="AE21" i="3"/>
  <c r="Q21" i="3"/>
  <c r="AL21" i="3"/>
  <c r="R21" i="3"/>
  <c r="AH28" i="3"/>
  <c r="Z27" i="3"/>
  <c r="U26" i="3"/>
  <c r="AJ21" i="3"/>
  <c r="V17" i="3"/>
  <c r="AF15" i="3"/>
  <c r="Z14" i="3"/>
  <c r="AM27" i="3"/>
  <c r="AO33" i="3"/>
  <c r="T32" i="3"/>
  <c r="AO32" i="3"/>
  <c r="AM32" i="3"/>
  <c r="V20" i="3"/>
  <c r="AO20" i="3"/>
  <c r="R10" i="3"/>
  <c r="U10" i="3"/>
  <c r="AA32" i="3"/>
  <c r="AL29" i="3"/>
  <c r="AD28" i="3"/>
  <c r="S27" i="3"/>
  <c r="T26" i="3"/>
  <c r="U25" i="3"/>
  <c r="AF21" i="3"/>
  <c r="P17" i="3"/>
  <c r="AD15" i="3"/>
  <c r="V14" i="3"/>
  <c r="R13" i="3"/>
  <c r="AN26" i="3"/>
  <c r="M31" i="3"/>
  <c r="V31" i="3"/>
  <c r="AJ31" i="3"/>
  <c r="U31" i="3"/>
  <c r="AL31" i="3"/>
  <c r="AN31" i="3"/>
  <c r="AA31" i="3"/>
  <c r="AB31" i="3"/>
  <c r="M19" i="3"/>
  <c r="Q19" i="3"/>
  <c r="AI19" i="3"/>
  <c r="R19" i="3"/>
  <c r="AL19" i="3"/>
  <c r="X19" i="3"/>
  <c r="Z19" i="3"/>
  <c r="P10" i="3"/>
  <c r="T10" i="3"/>
  <c r="Z32" i="3"/>
  <c r="Q31" i="3"/>
  <c r="AK29" i="3"/>
  <c r="X28" i="3"/>
  <c r="Q27" i="3"/>
  <c r="S26" i="3"/>
  <c r="P25" i="3"/>
  <c r="AD21" i="3"/>
  <c r="AD19" i="3"/>
  <c r="O17" i="3"/>
  <c r="AC15" i="3"/>
  <c r="U14" i="3"/>
  <c r="Q13" i="3"/>
  <c r="AM26" i="3"/>
  <c r="AM16" i="3"/>
  <c r="AO17" i="3"/>
  <c r="AO23" i="3"/>
  <c r="AM23" i="3"/>
  <c r="AL11" i="3"/>
  <c r="AM11" i="3"/>
  <c r="S30" i="3"/>
  <c r="Z30" i="3"/>
  <c r="Y18" i="3"/>
  <c r="AO18" i="3"/>
  <c r="N18" i="3"/>
  <c r="X30" i="3"/>
  <c r="M18" i="3"/>
  <c r="Q23" i="3"/>
  <c r="AC23" i="3"/>
  <c r="R23" i="3"/>
  <c r="AD23" i="3"/>
  <c r="S23" i="3"/>
  <c r="AE23" i="3"/>
  <c r="W23" i="3"/>
  <c r="AI23" i="3"/>
  <c r="X23" i="3"/>
  <c r="AJ23" i="3"/>
  <c r="AF23" i="3"/>
  <c r="M23" i="3"/>
  <c r="AG23" i="3"/>
  <c r="O23" i="3"/>
  <c r="P23" i="3"/>
  <c r="AL23" i="3"/>
  <c r="T23" i="3"/>
  <c r="N23" i="3"/>
  <c r="AH23" i="3"/>
  <c r="AK23" i="3"/>
  <c r="AB23" i="3"/>
  <c r="AD33" i="3"/>
  <c r="Q33" i="3"/>
  <c r="AI22" i="3"/>
  <c r="Z20" i="3"/>
  <c r="AH22" i="3"/>
  <c r="M11" i="3"/>
  <c r="N11" i="3"/>
  <c r="O11" i="3"/>
  <c r="P11" i="3"/>
  <c r="Q11" i="3"/>
  <c r="AC11" i="3"/>
  <c r="AD11" i="3"/>
  <c r="R11" i="3"/>
  <c r="S11" i="3"/>
  <c r="AE11" i="3"/>
  <c r="V11" i="3"/>
  <c r="W11" i="3"/>
  <c r="AI11" i="3"/>
  <c r="X11" i="3"/>
  <c r="AJ11" i="3"/>
  <c r="Y11" i="3"/>
  <c r="Z11" i="3"/>
  <c r="AF11" i="3"/>
  <c r="AG11" i="3"/>
  <c r="AA11" i="3"/>
  <c r="AB11" i="3"/>
  <c r="U11" i="3"/>
  <c r="U33" i="3"/>
  <c r="AG33" i="3"/>
  <c r="W33" i="3"/>
  <c r="AI33" i="3"/>
  <c r="O33" i="3"/>
  <c r="AA33" i="3"/>
  <c r="P33" i="3"/>
  <c r="AB33" i="3"/>
  <c r="V33" i="3"/>
  <c r="X33" i="3"/>
  <c r="Z33" i="3"/>
  <c r="Y33" i="3"/>
  <c r="AC33" i="3"/>
  <c r="AF33" i="3"/>
  <c r="O22" i="3"/>
  <c r="W32" i="3"/>
  <c r="AI32" i="3"/>
  <c r="M32" i="3"/>
  <c r="Y32" i="3"/>
  <c r="AK32" i="3"/>
  <c r="Q32" i="3"/>
  <c r="AC32" i="3"/>
  <c r="R32" i="3"/>
  <c r="AD32" i="3"/>
  <c r="AE32" i="3"/>
  <c r="N32" i="3"/>
  <c r="AF32" i="3"/>
  <c r="P32" i="3"/>
  <c r="AH32" i="3"/>
  <c r="S32" i="3"/>
  <c r="AJ32" i="3"/>
  <c r="O32" i="3"/>
  <c r="AG32" i="3"/>
  <c r="W20" i="3"/>
  <c r="AI20" i="3"/>
  <c r="X20" i="3"/>
  <c r="AJ20" i="3"/>
  <c r="M20" i="3"/>
  <c r="Y20" i="3"/>
  <c r="AK20" i="3"/>
  <c r="Q20" i="3"/>
  <c r="AC20" i="3"/>
  <c r="R20" i="3"/>
  <c r="AD20" i="3"/>
  <c r="AA20" i="3"/>
  <c r="AB20" i="3"/>
  <c r="AF20" i="3"/>
  <c r="N20" i="3"/>
  <c r="AG20" i="3"/>
  <c r="O20" i="3"/>
  <c r="AH20" i="3"/>
  <c r="AE20" i="3"/>
  <c r="AE33" i="3"/>
  <c r="X32" i="3"/>
  <c r="AA23" i="3"/>
  <c r="V32" i="3"/>
  <c r="Z23" i="3"/>
  <c r="T33" i="3"/>
  <c r="U32" i="3"/>
  <c r="Y23" i="3"/>
  <c r="S33" i="3"/>
  <c r="V23" i="3"/>
  <c r="R33" i="3"/>
  <c r="U23" i="3"/>
  <c r="AL20" i="3"/>
  <c r="AL33" i="3"/>
  <c r="M33" i="3"/>
  <c r="AD22" i="3"/>
  <c r="U20" i="3"/>
  <c r="AK11" i="3"/>
  <c r="O24" i="3"/>
  <c r="AA24" i="3"/>
  <c r="P24" i="3"/>
  <c r="AB24" i="3"/>
  <c r="Q24" i="3"/>
  <c r="AC24" i="3"/>
  <c r="U24" i="3"/>
  <c r="AG24" i="3"/>
  <c r="V24" i="3"/>
  <c r="AH24" i="3"/>
  <c r="Y24" i="3"/>
  <c r="Z24" i="3"/>
  <c r="AE24" i="3"/>
  <c r="AF24" i="3"/>
  <c r="AD24" i="3"/>
  <c r="O12" i="3"/>
  <c r="AA12" i="3"/>
  <c r="P12" i="3"/>
  <c r="AB12" i="3"/>
  <c r="Q12" i="3"/>
  <c r="AC12" i="3"/>
  <c r="U12" i="3"/>
  <c r="AG12" i="3"/>
  <c r="V12" i="3"/>
  <c r="AH12" i="3"/>
  <c r="S12" i="3"/>
  <c r="AL12" i="3"/>
  <c r="T12" i="3"/>
  <c r="X12" i="3"/>
  <c r="W12" i="3"/>
  <c r="Y12" i="3"/>
  <c r="Z12" i="3"/>
  <c r="AK33" i="3"/>
  <c r="AL32" i="3"/>
  <c r="R24" i="3"/>
  <c r="T20" i="3"/>
  <c r="AH11" i="3"/>
  <c r="S22" i="3"/>
  <c r="AE22" i="3"/>
  <c r="T22" i="3"/>
  <c r="AF22" i="3"/>
  <c r="U22" i="3"/>
  <c r="AG22" i="3"/>
  <c r="M22" i="3"/>
  <c r="Y22" i="3"/>
  <c r="AK22" i="3"/>
  <c r="N22" i="3"/>
  <c r="Z22" i="3"/>
  <c r="AL22" i="3"/>
  <c r="P22" i="3"/>
  <c r="AJ22" i="3"/>
  <c r="Q22" i="3"/>
  <c r="V22" i="3"/>
  <c r="X22" i="3"/>
  <c r="R22" i="3"/>
  <c r="W22" i="3"/>
  <c r="AH33" i="3"/>
  <c r="AA22" i="3"/>
  <c r="P20" i="3"/>
  <c r="T11" i="3"/>
  <c r="AL30" i="3"/>
  <c r="M17" i="3"/>
  <c r="S28" i="3"/>
  <c r="AE28" i="3"/>
  <c r="U28" i="3"/>
  <c r="AG28" i="3"/>
  <c r="M28" i="3"/>
  <c r="Y28" i="3"/>
  <c r="AK28" i="3"/>
  <c r="N28" i="3"/>
  <c r="Z28" i="3"/>
  <c r="AL28" i="3"/>
  <c r="S16" i="3"/>
  <c r="AE16" i="3"/>
  <c r="T16" i="3"/>
  <c r="AF16" i="3"/>
  <c r="U16" i="3"/>
  <c r="AG16" i="3"/>
  <c r="M16" i="3"/>
  <c r="Y16" i="3"/>
  <c r="AK16" i="3"/>
  <c r="N16" i="3"/>
  <c r="Z16" i="3"/>
  <c r="AL16" i="3"/>
  <c r="AK30" i="3"/>
  <c r="AI28" i="3"/>
  <c r="Q28" i="3"/>
  <c r="AJ16" i="3"/>
  <c r="P16" i="3"/>
  <c r="O30" i="3"/>
  <c r="AA30" i="3"/>
  <c r="Q30" i="3"/>
  <c r="AC30" i="3"/>
  <c r="U30" i="3"/>
  <c r="AG30" i="3"/>
  <c r="V30" i="3"/>
  <c r="AH30" i="3"/>
  <c r="O18" i="3"/>
  <c r="AA18" i="3"/>
  <c r="P18" i="3"/>
  <c r="AB18" i="3"/>
  <c r="Q18" i="3"/>
  <c r="AC18" i="3"/>
  <c r="U18" i="3"/>
  <c r="AG18" i="3"/>
  <c r="V18" i="3"/>
  <c r="AH18" i="3"/>
  <c r="W30" i="3"/>
  <c r="AD18" i="3"/>
  <c r="Q29" i="3"/>
  <c r="AC29" i="3"/>
  <c r="S29" i="3"/>
  <c r="AE29" i="3"/>
  <c r="W29" i="3"/>
  <c r="AI29" i="3"/>
  <c r="X29" i="3"/>
  <c r="AJ29" i="3"/>
  <c r="Q17" i="3"/>
  <c r="AC17" i="3"/>
  <c r="R17" i="3"/>
  <c r="AD17" i="3"/>
  <c r="S17" i="3"/>
  <c r="AE17" i="3"/>
  <c r="W17" i="3"/>
  <c r="AI17" i="3"/>
  <c r="X17" i="3"/>
  <c r="AJ17" i="3"/>
  <c r="T30" i="3"/>
  <c r="AB29" i="3"/>
  <c r="Z18" i="3"/>
  <c r="AG17" i="3"/>
  <c r="U27" i="3"/>
  <c r="AG27" i="3"/>
  <c r="V27" i="3"/>
  <c r="W27" i="3"/>
  <c r="AI27" i="3"/>
  <c r="O27" i="3"/>
  <c r="AA27" i="3"/>
  <c r="P27" i="3"/>
  <c r="AB27" i="3"/>
  <c r="U15" i="3"/>
  <c r="AG15" i="3"/>
  <c r="V15" i="3"/>
  <c r="AH15" i="3"/>
  <c r="W15" i="3"/>
  <c r="AI15" i="3"/>
  <c r="O15" i="3"/>
  <c r="AA15" i="3"/>
  <c r="P15" i="3"/>
  <c r="AB15" i="3"/>
  <c r="AJ30" i="3"/>
  <c r="R30" i="3"/>
  <c r="Z29" i="3"/>
  <c r="X27" i="3"/>
  <c r="X18" i="3"/>
  <c r="AB17" i="3"/>
  <c r="S15" i="3"/>
  <c r="AI30" i="3"/>
  <c r="P30" i="3"/>
  <c r="Y29" i="3"/>
  <c r="AF28" i="3"/>
  <c r="O28" i="3"/>
  <c r="T27" i="3"/>
  <c r="W18" i="3"/>
  <c r="AA17" i="3"/>
  <c r="AH16" i="3"/>
  <c r="AL15" i="3"/>
  <c r="R15" i="3"/>
  <c r="AK10" i="3"/>
  <c r="AD26" i="3"/>
  <c r="R26" i="3"/>
  <c r="AF25" i="3"/>
  <c r="T25" i="3"/>
  <c r="AB21" i="3"/>
  <c r="P21" i="3"/>
  <c r="AF19" i="3"/>
  <c r="T19" i="3"/>
  <c r="AD14" i="3"/>
  <c r="R14" i="3"/>
  <c r="AF13" i="3"/>
  <c r="T13" i="3"/>
  <c r="Y10" i="3"/>
  <c r="AJ10" i="3"/>
  <c r="X10" i="3"/>
  <c r="AE31" i="3"/>
  <c r="S31" i="3"/>
  <c r="AC26" i="3"/>
  <c r="Q26" i="3"/>
  <c r="AE25" i="3"/>
  <c r="S25" i="3"/>
  <c r="AA21" i="3"/>
  <c r="O21" i="3"/>
  <c r="AE19" i="3"/>
  <c r="S19" i="3"/>
  <c r="AC14" i="3"/>
  <c r="Q14" i="3"/>
  <c r="AE13" i="3"/>
  <c r="S13" i="3"/>
  <c r="AK26" i="3"/>
  <c r="Y26" i="3"/>
  <c r="M26" i="3"/>
  <c r="AA25" i="3"/>
  <c r="O25" i="3"/>
  <c r="AI21" i="3"/>
  <c r="W21" i="3"/>
  <c r="AA19" i="3"/>
  <c r="O19" i="3"/>
  <c r="AK14" i="3"/>
  <c r="Y14" i="3"/>
  <c r="M14" i="3"/>
  <c r="AA13" i="3"/>
  <c r="O13" i="3"/>
  <c r="AH21" i="3"/>
  <c r="V21" i="3"/>
  <c r="AJ14" i="3"/>
  <c r="X14" i="3"/>
  <c r="Q10" i="3"/>
  <c r="AK31" i="3"/>
  <c r="Y31" i="3"/>
  <c r="AI26" i="3"/>
  <c r="AK25" i="3"/>
  <c r="Y25" i="3"/>
  <c r="AG21" i="3"/>
  <c r="AK19" i="3"/>
  <c r="Y19" i="3"/>
  <c r="AI14" i="3"/>
  <c r="AK13" i="3"/>
  <c r="Y13" i="3"/>
  <c r="C45" i="6" l="1"/>
  <c r="C46" i="6" s="1"/>
  <c r="BI35" i="3"/>
  <c r="BC35" i="3"/>
  <c r="BA35" i="3"/>
  <c r="BB35" i="3"/>
  <c r="AQ35" i="3"/>
  <c r="AU35" i="3"/>
  <c r="AT35" i="3"/>
  <c r="BK35" i="3"/>
  <c r="AS35" i="3"/>
  <c r="BJ35" i="3"/>
  <c r="BH35" i="3"/>
  <c r="AZ35" i="3"/>
  <c r="AR35" i="3"/>
  <c r="BF35" i="3"/>
  <c r="AX35" i="3"/>
  <c r="AY35" i="3"/>
  <c r="BE35" i="3"/>
  <c r="AW35" i="3"/>
  <c r="BG35" i="3"/>
  <c r="BL35" i="3"/>
  <c r="BD35" i="3"/>
  <c r="AV35" i="3"/>
  <c r="J28" i="6"/>
  <c r="H30" i="6"/>
  <c r="I29" i="6"/>
  <c r="F43" i="6"/>
  <c r="J24" i="6"/>
  <c r="D45" i="6"/>
  <c r="L24" i="6"/>
  <c r="C47" i="6"/>
  <c r="D46" i="6"/>
  <c r="F46" i="6" s="1"/>
  <c r="N35" i="3"/>
  <c r="M35" i="3"/>
  <c r="AL35" i="3"/>
  <c r="V35" i="3"/>
  <c r="AI35" i="3"/>
  <c r="AG35" i="3"/>
  <c r="S35" i="3"/>
  <c r="AH35" i="3"/>
  <c r="D33" i="4"/>
  <c r="D34" i="4" s="1"/>
  <c r="D35" i="4" s="1"/>
  <c r="E33" i="4"/>
  <c r="E34" i="4" s="1"/>
  <c r="E35" i="4" s="1"/>
  <c r="F33" i="4"/>
  <c r="F34" i="4" s="1"/>
  <c r="F35" i="4" s="1"/>
  <c r="G21" i="4"/>
  <c r="AA35" i="3"/>
  <c r="AK35" i="3"/>
  <c r="R35" i="3"/>
  <c r="AJ35" i="3"/>
  <c r="AO35" i="3"/>
  <c r="T35" i="3"/>
  <c r="AD35" i="3"/>
  <c r="P35" i="3"/>
  <c r="AP35" i="3"/>
  <c r="O35" i="3"/>
  <c r="X35" i="3"/>
  <c r="W35" i="3"/>
  <c r="Q35" i="3"/>
  <c r="AF35" i="3"/>
  <c r="Y35" i="3"/>
  <c r="U35" i="3"/>
  <c r="AE35" i="3"/>
  <c r="Z35" i="3"/>
  <c r="AC35" i="3"/>
  <c r="AN35" i="3"/>
  <c r="AB35" i="3"/>
  <c r="AM35" i="3"/>
  <c r="D47" i="6" l="1"/>
  <c r="F47" i="6" s="1"/>
  <c r="C48" i="6"/>
  <c r="F45" i="6"/>
  <c r="D48" i="6"/>
  <c r="J29" i="6"/>
  <c r="H31" i="6"/>
  <c r="I30" i="6"/>
  <c r="D2" i="3"/>
  <c r="D1" i="3"/>
  <c r="D3" i="3" s="1"/>
  <c r="L25" i="6"/>
  <c r="L26" i="6" s="1"/>
  <c r="L27" i="6" s="1"/>
  <c r="L28" i="6" s="1"/>
  <c r="L29" i="6" s="1"/>
  <c r="L30" i="6" s="1"/>
  <c r="L31" i="6" s="1"/>
  <c r="L32" i="6" s="1"/>
  <c r="L33" i="6" s="1"/>
  <c r="L34" i="6" s="1"/>
  <c r="L35" i="6" s="1"/>
  <c r="L36" i="6" s="1"/>
  <c r="L37" i="6" s="1"/>
  <c r="L38" i="6" s="1"/>
  <c r="L39" i="6" s="1"/>
  <c r="L40" i="6" s="1"/>
  <c r="L41" i="6" s="1"/>
  <c r="L42" i="6" s="1"/>
  <c r="H21" i="4"/>
  <c r="G33" i="4"/>
  <c r="J30" i="6" l="1"/>
  <c r="H32" i="6"/>
  <c r="I31" i="6"/>
  <c r="F48" i="6"/>
  <c r="L48" i="6"/>
  <c r="M23" i="6" s="1"/>
  <c r="K23" i="6" s="1"/>
  <c r="G34" i="4"/>
  <c r="H33" i="4"/>
  <c r="I21" i="4"/>
  <c r="H34" i="4" l="1"/>
  <c r="H35" i="4" s="1"/>
  <c r="G35" i="4"/>
  <c r="O3" i="4" s="1"/>
  <c r="J31" i="6"/>
  <c r="H33" i="6"/>
  <c r="I32" i="6"/>
  <c r="O23" i="6"/>
  <c r="Q23" i="6" s="1"/>
  <c r="M24" i="6"/>
  <c r="J21" i="4"/>
  <c r="K21" i="4" s="1"/>
  <c r="I33" i="4"/>
  <c r="I34" i="4" l="1"/>
  <c r="J32" i="6"/>
  <c r="H34" i="6"/>
  <c r="I33" i="6"/>
  <c r="M25" i="6"/>
  <c r="K24" i="6"/>
  <c r="J33" i="4"/>
  <c r="J33" i="6" l="1"/>
  <c r="H35" i="6"/>
  <c r="I34" i="6"/>
  <c r="I35" i="4"/>
  <c r="O24" i="6"/>
  <c r="M26" i="6"/>
  <c r="K25" i="6"/>
  <c r="O25" i="6" s="1"/>
  <c r="Q25" i="6" s="1"/>
  <c r="J34" i="4"/>
  <c r="L21" i="4"/>
  <c r="K33" i="4"/>
  <c r="K34" i="4" l="1"/>
  <c r="K35" i="4" s="1"/>
  <c r="J35" i="4"/>
  <c r="J34" i="6"/>
  <c r="H36" i="6"/>
  <c r="I35" i="6"/>
  <c r="Q24" i="6"/>
  <c r="M27" i="6"/>
  <c r="K26" i="6"/>
  <c r="O26" i="6" s="1"/>
  <c r="Q26" i="6" s="1"/>
  <c r="M21" i="4"/>
  <c r="L33" i="4"/>
  <c r="J35" i="6" l="1"/>
  <c r="H37" i="6"/>
  <c r="I36" i="6"/>
  <c r="M28" i="6"/>
  <c r="K27" i="6"/>
  <c r="O27" i="6" s="1"/>
  <c r="Q27" i="6" s="1"/>
  <c r="L34" i="4"/>
  <c r="N21" i="4"/>
  <c r="M33" i="4"/>
  <c r="M34" i="4" l="1"/>
  <c r="M35" i="4" s="1"/>
  <c r="L35" i="4"/>
  <c r="J36" i="6"/>
  <c r="H38" i="6"/>
  <c r="I37" i="6"/>
  <c r="M29" i="6"/>
  <c r="K28" i="6"/>
  <c r="O21" i="4"/>
  <c r="N33" i="4"/>
  <c r="N34" i="4" l="1"/>
  <c r="J37" i="6"/>
  <c r="H39" i="6"/>
  <c r="I38" i="6"/>
  <c r="O28" i="6"/>
  <c r="M30" i="6"/>
  <c r="K29" i="6"/>
  <c r="O29" i="6" s="1"/>
  <c r="Q29" i="6" s="1"/>
  <c r="P21" i="4"/>
  <c r="O33" i="4"/>
  <c r="O34" i="4" l="1"/>
  <c r="O35" i="4" s="1"/>
  <c r="J38" i="6"/>
  <c r="H40" i="6"/>
  <c r="I39" i="6"/>
  <c r="N35" i="4"/>
  <c r="Q28" i="6"/>
  <c r="M31" i="6"/>
  <c r="K30" i="6"/>
  <c r="O30" i="6" s="1"/>
  <c r="Q30" i="6" s="1"/>
  <c r="Q21" i="4"/>
  <c r="P33" i="4"/>
  <c r="P34" i="4" l="1"/>
  <c r="J39" i="6"/>
  <c r="H41" i="6"/>
  <c r="I40" i="6"/>
  <c r="M32" i="6"/>
  <c r="K31" i="6"/>
  <c r="O31" i="6" s="1"/>
  <c r="Q31" i="6" s="1"/>
  <c r="R21" i="4"/>
  <c r="Q33" i="4"/>
  <c r="Q34" i="4" l="1"/>
  <c r="Q35" i="4" s="1"/>
  <c r="J40" i="6"/>
  <c r="H42" i="6"/>
  <c r="I41" i="6"/>
  <c r="P35" i="4"/>
  <c r="M33" i="6"/>
  <c r="K32" i="6"/>
  <c r="O32" i="6" s="1"/>
  <c r="Q32" i="6" s="1"/>
  <c r="S21" i="4"/>
  <c r="R33" i="4"/>
  <c r="R34" i="4" l="1"/>
  <c r="J41" i="6"/>
  <c r="H43" i="6"/>
  <c r="I42" i="6"/>
  <c r="M34" i="6"/>
  <c r="K33" i="6"/>
  <c r="O33" i="6" s="1"/>
  <c r="Q33" i="6" s="1"/>
  <c r="T21" i="4"/>
  <c r="S33" i="4"/>
  <c r="S34" i="4" l="1"/>
  <c r="S35" i="4" s="1"/>
  <c r="J42" i="6"/>
  <c r="H44" i="6"/>
  <c r="I43" i="6"/>
  <c r="R35" i="4"/>
  <c r="M35" i="6"/>
  <c r="K34" i="6"/>
  <c r="O34" i="6" s="1"/>
  <c r="Q34" i="6" s="1"/>
  <c r="U21" i="4"/>
  <c r="T33" i="4"/>
  <c r="T34" i="4" l="1"/>
  <c r="J43" i="6"/>
  <c r="H45" i="6"/>
  <c r="I44" i="6"/>
  <c r="M36" i="6"/>
  <c r="K35" i="6"/>
  <c r="O35" i="6" s="1"/>
  <c r="Q35" i="6" s="1"/>
  <c r="V21" i="4"/>
  <c r="U33" i="4"/>
  <c r="U34" i="4" l="1"/>
  <c r="U35" i="4" s="1"/>
  <c r="V33" i="4"/>
  <c r="W21" i="4"/>
  <c r="J44" i="6"/>
  <c r="Q44" i="6" s="1"/>
  <c r="H46" i="6"/>
  <c r="I45" i="6"/>
  <c r="Q43" i="6"/>
  <c r="T35" i="4"/>
  <c r="M37" i="6"/>
  <c r="K36" i="6"/>
  <c r="O36" i="6" s="1"/>
  <c r="Q36" i="6" s="1"/>
  <c r="V34" i="4"/>
  <c r="V35" i="4" l="1"/>
  <c r="J45" i="6"/>
  <c r="H47" i="6"/>
  <c r="I47" i="6" s="1"/>
  <c r="J47" i="6" s="1"/>
  <c r="Q47" i="6" s="1"/>
  <c r="I46" i="6"/>
  <c r="X21" i="4"/>
  <c r="W33" i="4"/>
  <c r="W34" i="4" s="1"/>
  <c r="M38" i="6"/>
  <c r="K37" i="6"/>
  <c r="O37" i="6" s="1"/>
  <c r="Q37" i="6" s="1"/>
  <c r="W35" i="4" l="1"/>
  <c r="Y21" i="4"/>
  <c r="X33" i="4"/>
  <c r="J46" i="6"/>
  <c r="Q46" i="6" s="1"/>
  <c r="I48" i="6"/>
  <c r="Q45" i="6"/>
  <c r="I2" i="6"/>
  <c r="J48" i="6"/>
  <c r="M39" i="6"/>
  <c r="K38" i="6"/>
  <c r="O38" i="6" s="1"/>
  <c r="Q38" i="6" s="1"/>
  <c r="X34" i="4" l="1"/>
  <c r="Z21" i="4"/>
  <c r="Y33" i="4"/>
  <c r="M40" i="6"/>
  <c r="K39" i="6"/>
  <c r="O39" i="6" s="1"/>
  <c r="Q39" i="6" s="1"/>
  <c r="Y34" i="4" l="1"/>
  <c r="Y35" i="4" s="1"/>
  <c r="Z33" i="4"/>
  <c r="AA21" i="4"/>
  <c r="AA33" i="4" s="1"/>
  <c r="AA34" i="4" s="1"/>
  <c r="AA35" i="4" s="1"/>
  <c r="X35" i="4"/>
  <c r="M41" i="6"/>
  <c r="K40" i="6"/>
  <c r="O40" i="6" s="1"/>
  <c r="Q40" i="6" s="1"/>
  <c r="Z34" i="4" l="1"/>
  <c r="AB33" i="4"/>
  <c r="M42" i="6"/>
  <c r="K41" i="6"/>
  <c r="O41" i="6" s="1"/>
  <c r="Q41" i="6" s="1"/>
  <c r="Z35" i="4" l="1"/>
  <c r="AB34" i="4"/>
  <c r="K42" i="6"/>
  <c r="M48" i="6"/>
  <c r="AB35" i="4" l="1"/>
  <c r="O4" i="4"/>
  <c r="O42" i="6"/>
  <c r="K48" i="6"/>
  <c r="Q42" i="6" l="1"/>
  <c r="I3" i="6"/>
  <c r="I4" i="6" s="1"/>
  <c r="O48" i="6"/>
  <c r="Q48" i="6" l="1"/>
  <c r="I5" i="6"/>
</calcChain>
</file>

<file path=xl/sharedStrings.xml><?xml version="1.0" encoding="utf-8"?>
<sst xmlns="http://schemas.openxmlformats.org/spreadsheetml/2006/main" count="308" uniqueCount="204">
  <si>
    <t>Notes:</t>
  </si>
  <si>
    <t>Col D is the associated grams/mile of emissions for the specific vehicle model as noted above; this was cited from fueleconomy.gov, which was referenced by the EPA’s website for emissions values</t>
  </si>
  <si>
    <r>
      <t>Col K</t>
    </r>
    <r>
      <rPr>
        <sz val="11"/>
        <color rgb="FF222222"/>
        <rFont val="Calibri"/>
        <family val="2"/>
      </rPr>
      <t> is the original replacement year; </t>
    </r>
    <r>
      <rPr>
        <b/>
        <sz val="11"/>
        <color rgb="FF222222"/>
        <rFont val="Calibri"/>
        <family val="2"/>
      </rPr>
      <t>Col L</t>
    </r>
    <r>
      <rPr>
        <sz val="11"/>
        <color rgb="FF222222"/>
        <rFont val="Calibri"/>
        <family val="2"/>
      </rPr>
      <t> is an attempt to extrapolate a replacement policy given the details in the original email below</t>
    </r>
  </si>
  <si>
    <r>
      <t>Col M -&gt; Col AL</t>
    </r>
    <r>
      <rPr>
        <sz val="11"/>
        <color rgb="FF222222"/>
        <rFont val="Calibri"/>
        <family val="2"/>
      </rPr>
      <t> are the base case emissions results of calculating (g/mile) * (annual mileage) / (1000000 g/metric ton) for an estimated annual value, years 2025 thru 2050</t>
    </r>
  </si>
  <si>
    <r>
      <t>Col AM -&gt; Col BL</t>
    </r>
    <r>
      <rPr>
        <sz val="11"/>
        <color rgb="FF222222"/>
        <rFont val="Calibri"/>
        <family val="2"/>
      </rPr>
      <t> show the same for the replacement scenario, replacing each vehicle per the year indicated in </t>
    </r>
    <r>
      <rPr>
        <b/>
        <sz val="11"/>
        <color rgb="FF222222"/>
        <rFont val="Calibri"/>
        <family val="2"/>
      </rPr>
      <t>Col L</t>
    </r>
    <r>
      <rPr>
        <sz val="11"/>
        <color rgb="FF222222"/>
        <rFont val="Calibri"/>
        <family val="2"/>
      </rPr>
      <t> with a zero-emissions model</t>
    </r>
  </si>
  <si>
    <t>The swapped models acquired during the 2027/2028/2029 timeframe would be zero emissions generators; however, the electric used to power those new models would not be. An estimate of what that utility grid emissions component would look like could be calculated, but not without indicating what EV models would be intended for acquisition- determining the kWh/mile factor for these proposed EV’s.</t>
  </si>
  <si>
    <t>MTCO2e for 2050 - Base Case</t>
  </si>
  <si>
    <t>MTCO2e for 2050 - Electrify Vehicles</t>
  </si>
  <si>
    <t>MTCO2e SAVED THROUGH 2050</t>
  </si>
  <si>
    <t>Assumed Average Miles/kWh</t>
  </si>
  <si>
    <t>miles/kWh</t>
  </si>
  <si>
    <t>Emissions</t>
  </si>
  <si>
    <t>lbs / MWh NEWE (EPA eGRID)</t>
  </si>
  <si>
    <t>Convert to MTonsCO2e/yr</t>
  </si>
  <si>
    <t>MTCO2e/yr</t>
  </si>
  <si>
    <t>Current Emissions Rate (MTons CO2e)</t>
  </si>
  <si>
    <t>Revised Emissions Rate (MTons CO2e)</t>
  </si>
  <si>
    <t>EQUIP/VEHICLE</t>
  </si>
  <si>
    <t>VEHICLE #</t>
  </si>
  <si>
    <t>ASSUMED EQUIP/VEHICLE</t>
  </si>
  <si>
    <t>Emissions
(g/mile)</t>
  </si>
  <si>
    <t>Est Annual Mileage
(mile/yr)</t>
  </si>
  <si>
    <t xml:space="preserve">ASSIGNED </t>
  </si>
  <si>
    <t>VEH LOCATED</t>
  </si>
  <si>
    <t>PURCHASE YR</t>
  </si>
  <si>
    <t>COLOR</t>
  </si>
  <si>
    <t>FUEL</t>
  </si>
  <si>
    <t>SUGGESTED REPLACE YR</t>
  </si>
  <si>
    <t>REVISED REPLACE YR</t>
  </si>
  <si>
    <t>F-150 with LIFT</t>
  </si>
  <si>
    <t>51WTD</t>
  </si>
  <si>
    <t>2007 FORD F150 4.6L 8cyl</t>
  </si>
  <si>
    <t>BOE</t>
  </si>
  <si>
    <t>PS</t>
  </si>
  <si>
    <t>WHITE</t>
  </si>
  <si>
    <t>UN</t>
  </si>
  <si>
    <t>EXPLORER</t>
  </si>
  <si>
    <t>121WTD</t>
  </si>
  <si>
    <t>2010 FORD EXPLORER 4.6L 8cyl</t>
  </si>
  <si>
    <t>JUAN-CUST SUPERVISOR</t>
  </si>
  <si>
    <t>RED</t>
  </si>
  <si>
    <t>VAN</t>
  </si>
  <si>
    <t>53WTD</t>
  </si>
  <si>
    <t>2010 FORD TRANSIT 2.0L 4cyl</t>
  </si>
  <si>
    <t>HONDA</t>
  </si>
  <si>
    <t>200WTD</t>
  </si>
  <si>
    <t>2012 HONDA CIVIC 1.8L 4cyl</t>
  </si>
  <si>
    <t>BLDG</t>
  </si>
  <si>
    <t>TH</t>
  </si>
  <si>
    <t>BLUE</t>
  </si>
  <si>
    <t>NG</t>
  </si>
  <si>
    <t>45WTD</t>
  </si>
  <si>
    <t>ASSESSOR</t>
  </si>
  <si>
    <t>ESCAPE</t>
  </si>
  <si>
    <t>501WTD</t>
  </si>
  <si>
    <t>2012 FORD ESCAPE 2.5L 4cyl</t>
  </si>
  <si>
    <t>PHS SERV - SALLY</t>
  </si>
  <si>
    <t>76 WTD</t>
  </si>
  <si>
    <t>2010 FORD TRANSIT 2.5L 4cyl</t>
  </si>
  <si>
    <t>201WTD</t>
  </si>
  <si>
    <t>2013 HONDA CIVIC 1.8L 4cyl</t>
  </si>
  <si>
    <t>BLDG - ASST BLD</t>
  </si>
  <si>
    <t>2013</t>
  </si>
  <si>
    <t>TRANSIT</t>
  </si>
  <si>
    <t>32WTD</t>
  </si>
  <si>
    <t>2013 FORD TRANSIT 2.0L 4 cyl</t>
  </si>
  <si>
    <t>SOC SERVICES</t>
  </si>
  <si>
    <t>48WTD</t>
  </si>
  <si>
    <t>PARK &amp; REC</t>
  </si>
  <si>
    <t>FORD</t>
  </si>
  <si>
    <t>S5676S</t>
  </si>
  <si>
    <t>2014 FORD ESCAPE 2.0L 4cyl</t>
  </si>
  <si>
    <t>COM CTR - NATALIE</t>
  </si>
  <si>
    <t>CC</t>
  </si>
  <si>
    <t>120WTD</t>
  </si>
  <si>
    <t>2014 FORD TRANSIT 2.5L 4cyl</t>
  </si>
  <si>
    <t>83WTD</t>
  </si>
  <si>
    <t>105WTD</t>
  </si>
  <si>
    <t>2015 FORD ESCAPE 2.0L 4cyl</t>
  </si>
  <si>
    <t>ENG - DERRICK</t>
  </si>
  <si>
    <t>BLACK</t>
  </si>
  <si>
    <t>FORD FOCUS HATCHBACK</t>
  </si>
  <si>
    <t>82WTD</t>
  </si>
  <si>
    <t>2016 FORD FOCUS 2.0L 4cyl</t>
  </si>
  <si>
    <t>FORD EXPLORER</t>
  </si>
  <si>
    <t>220WTD</t>
  </si>
  <si>
    <t>2016 FORD EXPLORER 3.5L 6cyl</t>
  </si>
  <si>
    <t>ENG</t>
  </si>
  <si>
    <t>FORD FOCUS</t>
  </si>
  <si>
    <t>64WTD</t>
  </si>
  <si>
    <t>2017 FORD FOCUS 2.0L 4cyl</t>
  </si>
  <si>
    <t>FUSION</t>
  </si>
  <si>
    <t>92 WTD</t>
  </si>
  <si>
    <t>2013 FORD FUSION 2.0L 4cyl</t>
  </si>
  <si>
    <t>BLIGHT OFFICER</t>
  </si>
  <si>
    <t>HYB</t>
  </si>
  <si>
    <t>FORD TAURUS</t>
  </si>
  <si>
    <t>1WTD</t>
  </si>
  <si>
    <t>2014 FORD TAURUS 2.0L 4cyl</t>
  </si>
  <si>
    <t xml:space="preserve">PARKS &amp; REC - KATHY </t>
  </si>
  <si>
    <t>54WTD</t>
  </si>
  <si>
    <t>F150</t>
  </si>
  <si>
    <t>156 WTD</t>
  </si>
  <si>
    <t>2019 FORD F150 5.0L 8cyl</t>
  </si>
  <si>
    <t>FIRE MARSHAL</t>
  </si>
  <si>
    <t>EXCURSION</t>
  </si>
  <si>
    <t>73WTD</t>
  </si>
  <si>
    <t>2004 FORD EXPEDITION 5.4L 8cyl</t>
  </si>
  <si>
    <t>2004</t>
  </si>
  <si>
    <t>GREEN</t>
  </si>
  <si>
    <t>2014 FORD F150 5.0L 8cyl</t>
  </si>
  <si>
    <t>LANDSCAPING</t>
  </si>
  <si>
    <t>OLD FIRE DEPT TRUCK</t>
  </si>
  <si>
    <t>BOX TRUCK</t>
  </si>
  <si>
    <t>80WTD</t>
  </si>
  <si>
    <t>2014 FORD E350 5.4L 8cyl</t>
  </si>
  <si>
    <t>* EPA.gov suggests fueleconomy.gov for GHG emissions rate and GHG rating</t>
  </si>
  <si>
    <t>* values in g/mile; 1,000,000 g / metric ton</t>
  </si>
  <si>
    <t>References / Variables</t>
  </si>
  <si>
    <t>Calculated Emissions Offset</t>
  </si>
  <si>
    <t>Model</t>
  </si>
  <si>
    <t>kWh</t>
  </si>
  <si>
    <t>MWh</t>
  </si>
  <si>
    <t>Start Yr</t>
  </si>
  <si>
    <t>2026 - 2030</t>
  </si>
  <si>
    <t>MT CO2e</t>
  </si>
  <si>
    <t>jan</t>
  </si>
  <si>
    <t>Sys Size</t>
  </si>
  <si>
    <t>kW</t>
  </si>
  <si>
    <t>2031 - 2051</t>
  </si>
  <si>
    <t>feb</t>
  </si>
  <si>
    <t>Panel</t>
  </si>
  <si>
    <t>yr lifecycle</t>
  </si>
  <si>
    <t>mar</t>
  </si>
  <si>
    <t>Inverter</t>
  </si>
  <si>
    <t>apr</t>
  </si>
  <si>
    <t>Modules</t>
  </si>
  <si>
    <t>may</t>
  </si>
  <si>
    <t>Price</t>
  </si>
  <si>
    <t>$/kWh</t>
  </si>
  <si>
    <t>jun</t>
  </si>
  <si>
    <t>Escalation</t>
  </si>
  <si>
    <t>% / yr</t>
  </si>
  <si>
    <t>jul</t>
  </si>
  <si>
    <t>Term</t>
  </si>
  <si>
    <t>yr</t>
  </si>
  <si>
    <t>aug</t>
  </si>
  <si>
    <t>Degrade</t>
  </si>
  <si>
    <t>sep</t>
  </si>
  <si>
    <t>oct</t>
  </si>
  <si>
    <t>nov</t>
  </si>
  <si>
    <t>dec</t>
  </si>
  <si>
    <t>Total</t>
  </si>
  <si>
    <t>Production Model</t>
  </si>
  <si>
    <t>Totals</t>
  </si>
  <si>
    <t>MWh/yr</t>
  </si>
  <si>
    <t>lbs CO2e/yr</t>
  </si>
  <si>
    <t>MT CO2e/yr</t>
  </si>
  <si>
    <t>Solar PV Size</t>
  </si>
  <si>
    <t>Watts</t>
  </si>
  <si>
    <t>Total Savings over 20 yrs</t>
  </si>
  <si>
    <t>Solar Cost $/W</t>
  </si>
  <si>
    <t>$/W</t>
  </si>
  <si>
    <t>Total Costs over 20 yrs</t>
  </si>
  <si>
    <t>System Cost</t>
  </si>
  <si>
    <t>Total Positive Cash Flow</t>
  </si>
  <si>
    <t>ITC Assumption</t>
  </si>
  <si>
    <t>Assumes Domestic Content</t>
  </si>
  <si>
    <t>Net Present Value</t>
  </si>
  <si>
    <t>Tax Exempt Loan?</t>
  </si>
  <si>
    <t>Yes</t>
  </si>
  <si>
    <t>New ITC Assumption</t>
  </si>
  <si>
    <t>Decreased by 15% due to use of tax exempt</t>
  </si>
  <si>
    <t>CPRG Funds Needed</t>
  </si>
  <si>
    <t>INPUT</t>
  </si>
  <si>
    <t>Net Financed Amount</t>
  </si>
  <si>
    <t>Maint. Cost</t>
  </si>
  <si>
    <t>$/W/yr</t>
  </si>
  <si>
    <t>Financing Term</t>
  </si>
  <si>
    <t>yrs</t>
  </si>
  <si>
    <t>Financing Rate</t>
  </si>
  <si>
    <t>interest rate</t>
  </si>
  <si>
    <t>Assumed $/kWh Rate (yr 1)</t>
  </si>
  <si>
    <t>Based on correspondence with Adam Teff in Spring 2023</t>
  </si>
  <si>
    <t>$/kVA Rate from HS Bills</t>
  </si>
  <si>
    <t>Feb 2024 Bill</t>
  </si>
  <si>
    <t>Assumed Power Factor</t>
  </si>
  <si>
    <t>Assumed $/kW Rate (yr 1)</t>
  </si>
  <si>
    <t>Demand Savings</t>
  </si>
  <si>
    <t>Panel Degradation Factor</t>
  </si>
  <si>
    <t>Utility Escalation</t>
  </si>
  <si>
    <t>O&amp;M Escalation</t>
  </si>
  <si>
    <t>Year</t>
  </si>
  <si>
    <t>kWh/yr</t>
  </si>
  <si>
    <t>Energy Rate</t>
  </si>
  <si>
    <t>Energy Savings</t>
  </si>
  <si>
    <t>Demand Rate</t>
  </si>
  <si>
    <t>Annual Benefits</t>
  </si>
  <si>
    <t>Debt Payments</t>
  </si>
  <si>
    <t>Level Payments</t>
  </si>
  <si>
    <t>Escalate Pmt</t>
  </si>
  <si>
    <t>Maint Costs</t>
  </si>
  <si>
    <t>Total Annual Costs</t>
  </si>
  <si>
    <t>Net Cash Flow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</si>
</sst>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_(* #,##0.0_);_(* \(#,##0.0\);_(* &quot;-&quot;??_);_(@_)"/>
    <numFmt numFmtId="166" formatCode="_(* #,##0_);_(* \(#,##0\);_(* &quot;-&quot;??_);_(@_)"/>
    <numFmt numFmtId="167" formatCode="_(&quot;$&quot;* #,##0.000_);_(&quot;$&quot;* \(#,##0.000\);_(&quot;$&quot;* &quot;-&quot;??_);_(@_)"/>
    <numFmt numFmtId="168" formatCode="_(&quot;$&quot;* #,##0.0000_);_(&quot;$&quot;* \(#,##0.0000\);_(&quot;$&quot;* &quot;-&quot;??_);_(@_)"/>
    <numFmt numFmtId="169" formatCode="_(* #,##0_);_(* \(#,##0\);_(* &quot;-&quot;?_);_(@_)"/>
  </numFmts>
  <fonts count="15">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i/>
      <sz val="12"/>
      <color theme="1"/>
      <name val="Calibri"/>
      <family val="2"/>
      <scheme val="minor"/>
    </font>
    <font>
      <sz val="11"/>
      <color theme="1"/>
      <name val="Calibri"/>
      <family val="2"/>
      <scheme val="minor"/>
    </font>
    <font>
      <sz val="10"/>
      <color theme="1"/>
      <name val="Calibri"/>
      <family val="2"/>
      <scheme val="minor"/>
    </font>
    <font>
      <i/>
      <sz val="11"/>
      <color theme="1"/>
      <name val="Calibri"/>
      <family val="2"/>
      <scheme val="minor"/>
    </font>
    <font>
      <b/>
      <u/>
      <sz val="11"/>
      <color theme="1"/>
      <name val="Calibri"/>
      <family val="2"/>
      <scheme val="minor"/>
    </font>
    <font>
      <u/>
      <sz val="11"/>
      <color theme="1"/>
      <name val="Calibri"/>
      <family val="2"/>
      <scheme val="minor"/>
    </font>
    <font>
      <i/>
      <u/>
      <sz val="11"/>
      <color theme="1"/>
      <name val="Calibri"/>
      <family val="2"/>
      <scheme val="minor"/>
    </font>
    <font>
      <sz val="12"/>
      <color rgb="FF222222"/>
      <name val="Arial"/>
      <family val="2"/>
    </font>
    <font>
      <sz val="11"/>
      <color rgb="FF222222"/>
      <name val="Calibri"/>
      <family val="2"/>
    </font>
    <font>
      <b/>
      <sz val="11"/>
      <color rgb="FF222222"/>
      <name val="Calibri"/>
      <family val="2"/>
    </font>
    <font>
      <u/>
      <sz val="11"/>
      <color theme="1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14" fillId="0" borderId="0" applyNumberFormat="0" applyFill="0" applyBorder="0" applyAlignment="0" applyProtection="0"/>
  </cellStyleXfs>
  <cellXfs count="155">
    <xf numFmtId="0" fontId="0" fillId="0" borderId="0" xfId="0"/>
    <xf numFmtId="0" fontId="2" fillId="0" borderId="1" xfId="0" applyFont="1" applyBorder="1"/>
    <xf numFmtId="0" fontId="2" fillId="2" borderId="1" xfId="0" applyFont="1" applyFill="1" applyBorder="1"/>
    <xf numFmtId="0" fontId="2" fillId="0" borderId="0" xfId="0" applyFont="1"/>
    <xf numFmtId="0" fontId="2" fillId="3" borderId="1" xfId="0" applyFont="1" applyFill="1" applyBorder="1"/>
    <xf numFmtId="0" fontId="2" fillId="3" borderId="1" xfId="0" applyFont="1" applyFill="1" applyBorder="1" applyAlignment="1">
      <alignment wrapText="1"/>
    </xf>
    <xf numFmtId="0" fontId="2" fillId="3" borderId="1" xfId="0" applyFont="1" applyFill="1" applyBorder="1" applyAlignment="1">
      <alignment horizontal="left"/>
    </xf>
    <xf numFmtId="0" fontId="2" fillId="3" borderId="8" xfId="0" applyFont="1" applyFill="1" applyBorder="1"/>
    <xf numFmtId="0" fontId="2" fillId="0" borderId="8" xfId="0" applyFont="1" applyBorder="1"/>
    <xf numFmtId="0" fontId="1" fillId="3" borderId="11" xfId="0" applyFont="1" applyFill="1" applyBorder="1" applyAlignment="1">
      <alignment horizontal="center" vertical="center"/>
    </xf>
    <xf numFmtId="0" fontId="1" fillId="0" borderId="11" xfId="0" applyFont="1" applyBorder="1" applyAlignment="1">
      <alignment horizontal="center" vertical="center" wrapText="1"/>
    </xf>
    <xf numFmtId="0" fontId="1" fillId="3" borderId="11" xfId="0" applyFont="1" applyFill="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0" fillId="0" borderId="3" xfId="0" applyBorder="1"/>
    <xf numFmtId="0" fontId="0" fillId="0" borderId="1" xfId="0" applyBorder="1"/>
    <xf numFmtId="0" fontId="3" fillId="0" borderId="11" xfId="0" applyFont="1" applyBorder="1" applyAlignment="1">
      <alignment horizontal="center" vertical="center"/>
    </xf>
    <xf numFmtId="0" fontId="1" fillId="4" borderId="11" xfId="0" applyFont="1" applyFill="1" applyBorder="1" applyAlignment="1">
      <alignment horizontal="center" vertical="center"/>
    </xf>
    <xf numFmtId="0" fontId="4" fillId="4" borderId="8" xfId="0" applyFont="1" applyFill="1" applyBorder="1"/>
    <xf numFmtId="0" fontId="4" fillId="4" borderId="1" xfId="0" applyFont="1" applyFill="1" applyBorder="1" applyAlignment="1">
      <alignment horizontal="left"/>
    </xf>
    <xf numFmtId="0" fontId="4" fillId="4" borderId="1" xfId="0" applyFont="1" applyFill="1" applyBorder="1"/>
    <xf numFmtId="0" fontId="1" fillId="4" borderId="12" xfId="0" applyFont="1" applyFill="1" applyBorder="1" applyAlignment="1">
      <alignment horizontal="center" vertical="center" wrapText="1"/>
    </xf>
    <xf numFmtId="0" fontId="4" fillId="4" borderId="9" xfId="0" applyFont="1" applyFill="1" applyBorder="1"/>
    <xf numFmtId="0" fontId="4" fillId="4" borderId="6" xfId="0" applyFont="1" applyFill="1" applyBorder="1"/>
    <xf numFmtId="0" fontId="1" fillId="4" borderId="11"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2" fillId="5" borderId="7" xfId="0" applyFont="1" applyFill="1" applyBorder="1"/>
    <xf numFmtId="0" fontId="2" fillId="5" borderId="5" xfId="0" applyFont="1" applyFill="1" applyBorder="1"/>
    <xf numFmtId="0" fontId="2" fillId="5" borderId="5" xfId="0" applyFont="1" applyFill="1" applyBorder="1" applyAlignment="1">
      <alignment wrapText="1"/>
    </xf>
    <xf numFmtId="0" fontId="1" fillId="5" borderId="11" xfId="0" applyFont="1" applyFill="1" applyBorder="1" applyAlignment="1">
      <alignment horizontal="center" vertical="center" wrapText="1"/>
    </xf>
    <xf numFmtId="0" fontId="2" fillId="5" borderId="8" xfId="0" applyFont="1" applyFill="1" applyBorder="1"/>
    <xf numFmtId="0" fontId="2" fillId="5" borderId="1" xfId="0" applyFont="1" applyFill="1" applyBorder="1"/>
    <xf numFmtId="0" fontId="2" fillId="5" borderId="8" xfId="0" applyFont="1" applyFill="1" applyBorder="1" applyAlignment="1">
      <alignment horizontal="center"/>
    </xf>
    <xf numFmtId="0" fontId="2" fillId="5" borderId="1" xfId="0" applyFont="1" applyFill="1" applyBorder="1" applyAlignment="1">
      <alignment horizontal="center"/>
    </xf>
    <xf numFmtId="49" fontId="2" fillId="5" borderId="1" xfId="0" applyNumberFormat="1" applyFont="1" applyFill="1" applyBorder="1" applyAlignment="1">
      <alignment horizontal="center"/>
    </xf>
    <xf numFmtId="0" fontId="3" fillId="6" borderId="10" xfId="0" applyFont="1" applyFill="1" applyBorder="1"/>
    <xf numFmtId="0" fontId="3" fillId="6" borderId="18" xfId="0" applyFont="1" applyFill="1" applyBorder="1"/>
    <xf numFmtId="0" fontId="0" fillId="0" borderId="14" xfId="0" applyBorder="1"/>
    <xf numFmtId="164" fontId="0" fillId="0" borderId="2" xfId="0" applyNumberFormat="1" applyBorder="1"/>
    <xf numFmtId="164" fontId="0" fillId="0" borderId="3" xfId="0" applyNumberFormat="1" applyBorder="1"/>
    <xf numFmtId="164" fontId="0" fillId="0" borderId="4" xfId="0" applyNumberFormat="1" applyBorder="1"/>
    <xf numFmtId="164" fontId="0" fillId="0" borderId="16" xfId="0" applyNumberFormat="1" applyBorder="1"/>
    <xf numFmtId="164" fontId="0" fillId="0" borderId="5" xfId="0" applyNumberFormat="1" applyBorder="1"/>
    <xf numFmtId="164" fontId="0" fillId="0" borderId="1" xfId="0" applyNumberFormat="1" applyBorder="1"/>
    <xf numFmtId="164" fontId="0" fillId="0" borderId="6" xfId="0" applyNumberFormat="1" applyBorder="1"/>
    <xf numFmtId="164" fontId="0" fillId="0" borderId="17" xfId="0" applyNumberFormat="1" applyBorder="1"/>
    <xf numFmtId="164" fontId="3" fillId="6" borderId="10" xfId="0" applyNumberFormat="1" applyFont="1" applyFill="1" applyBorder="1"/>
    <xf numFmtId="10" fontId="0" fillId="0" borderId="0" xfId="0" applyNumberFormat="1"/>
    <xf numFmtId="0" fontId="6" fillId="0" borderId="0" xfId="0" applyFont="1"/>
    <xf numFmtId="165" fontId="6" fillId="0" borderId="14" xfId="1" applyNumberFormat="1" applyFont="1" applyBorder="1"/>
    <xf numFmtId="165" fontId="6" fillId="0" borderId="15" xfId="1" applyNumberFormat="1" applyFont="1" applyBorder="1"/>
    <xf numFmtId="2" fontId="0" fillId="0" borderId="23" xfId="0" applyNumberFormat="1" applyBorder="1"/>
    <xf numFmtId="43" fontId="6" fillId="0" borderId="24" xfId="1" applyFont="1" applyBorder="1"/>
    <xf numFmtId="43" fontId="6" fillId="0" borderId="25" xfId="1" applyFont="1" applyBorder="1"/>
    <xf numFmtId="2" fontId="0" fillId="0" borderId="26" xfId="0" applyNumberFormat="1" applyBorder="1"/>
    <xf numFmtId="43" fontId="6" fillId="0" borderId="0" xfId="1" applyFont="1" applyBorder="1"/>
    <xf numFmtId="43" fontId="6" fillId="0" borderId="27" xfId="1" applyFont="1" applyBorder="1"/>
    <xf numFmtId="2" fontId="0" fillId="0" borderId="19" xfId="0" applyNumberFormat="1" applyBorder="1"/>
    <xf numFmtId="43" fontId="6" fillId="0" borderId="28" xfId="1" applyFont="1" applyBorder="1"/>
    <xf numFmtId="43" fontId="6" fillId="0" borderId="29" xfId="1" applyFont="1" applyBorder="1"/>
    <xf numFmtId="43" fontId="6" fillId="0" borderId="30" xfId="1" applyFont="1" applyBorder="1"/>
    <xf numFmtId="43" fontId="6" fillId="0" borderId="31" xfId="1" applyFont="1" applyBorder="1"/>
    <xf numFmtId="43" fontId="6" fillId="0" borderId="32" xfId="1" applyFont="1" applyBorder="1"/>
    <xf numFmtId="165" fontId="6" fillId="0" borderId="11" xfId="1" applyNumberFormat="1" applyFont="1" applyBorder="1"/>
    <xf numFmtId="166" fontId="6" fillId="0" borderId="14" xfId="0" applyNumberFormat="1" applyFont="1" applyBorder="1"/>
    <xf numFmtId="166" fontId="6" fillId="0" borderId="15" xfId="0" applyNumberFormat="1" applyFont="1" applyBorder="1"/>
    <xf numFmtId="166" fontId="6" fillId="0" borderId="11" xfId="0" applyNumberFormat="1" applyFont="1" applyBorder="1"/>
    <xf numFmtId="0" fontId="6" fillId="3" borderId="20" xfId="0" applyFont="1" applyFill="1" applyBorder="1"/>
    <xf numFmtId="0" fontId="6" fillId="3" borderId="21" xfId="0" applyFont="1" applyFill="1" applyBorder="1"/>
    <xf numFmtId="0" fontId="6" fillId="3" borderId="22" xfId="0" applyFont="1" applyFill="1" applyBorder="1"/>
    <xf numFmtId="0" fontId="6" fillId="3" borderId="18" xfId="0" applyFont="1" applyFill="1" applyBorder="1"/>
    <xf numFmtId="0" fontId="6" fillId="3" borderId="13" xfId="0" applyFont="1" applyFill="1" applyBorder="1"/>
    <xf numFmtId="0" fontId="6" fillId="3" borderId="11" xfId="0" applyFont="1" applyFill="1" applyBorder="1"/>
    <xf numFmtId="0" fontId="6" fillId="3" borderId="14" xfId="0" applyFont="1" applyFill="1" applyBorder="1"/>
    <xf numFmtId="0" fontId="6" fillId="3" borderId="15" xfId="0" applyFont="1" applyFill="1" applyBorder="1"/>
    <xf numFmtId="0" fontId="0" fillId="0" borderId="24" xfId="0" applyBorder="1"/>
    <xf numFmtId="0" fontId="0" fillId="0" borderId="25" xfId="0" applyBorder="1"/>
    <xf numFmtId="0" fontId="0" fillId="0" borderId="19" xfId="0" applyBorder="1"/>
    <xf numFmtId="0" fontId="0" fillId="0" borderId="28" xfId="0" applyBorder="1"/>
    <xf numFmtId="0" fontId="0" fillId="0" borderId="29" xfId="0" applyBorder="1"/>
    <xf numFmtId="0" fontId="0" fillId="0" borderId="33" xfId="0" applyBorder="1"/>
    <xf numFmtId="0" fontId="0" fillId="0" borderId="34" xfId="0" applyBorder="1"/>
    <xf numFmtId="0" fontId="0" fillId="0" borderId="35" xfId="0" applyBorder="1"/>
    <xf numFmtId="0" fontId="0" fillId="0" borderId="26" xfId="0" applyBorder="1"/>
    <xf numFmtId="0" fontId="0" fillId="0" borderId="27" xfId="0" applyBorder="1"/>
    <xf numFmtId="0" fontId="3" fillId="2" borderId="24" xfId="0" applyFont="1" applyFill="1" applyBorder="1"/>
    <xf numFmtId="2" fontId="0" fillId="0" borderId="0" xfId="0" applyNumberFormat="1"/>
    <xf numFmtId="0" fontId="0" fillId="2" borderId="0" xfId="0" applyFill="1"/>
    <xf numFmtId="0" fontId="0" fillId="0" borderId="31" xfId="0" applyBorder="1"/>
    <xf numFmtId="0" fontId="0" fillId="0" borderId="36" xfId="0" applyBorder="1"/>
    <xf numFmtId="0" fontId="0" fillId="0" borderId="37" xfId="0" applyBorder="1"/>
    <xf numFmtId="0" fontId="0" fillId="0" borderId="38" xfId="0" applyBorder="1"/>
    <xf numFmtId="43" fontId="6" fillId="0" borderId="14" xfId="0" applyNumberFormat="1" applyFont="1" applyBorder="1"/>
    <xf numFmtId="43" fontId="6" fillId="0" borderId="11" xfId="0" applyNumberFormat="1" applyFont="1" applyBorder="1"/>
    <xf numFmtId="43" fontId="6" fillId="0" borderId="15" xfId="0" applyNumberFormat="1" applyFont="1" applyBorder="1"/>
    <xf numFmtId="164" fontId="0" fillId="0" borderId="39" xfId="0" applyNumberFormat="1" applyBorder="1"/>
    <xf numFmtId="164" fontId="0" fillId="0" borderId="40" xfId="0" applyNumberFormat="1" applyBorder="1"/>
    <xf numFmtId="0" fontId="3" fillId="0" borderId="30" xfId="0" applyFont="1" applyBorder="1" applyAlignment="1">
      <alignment horizontal="center" vertical="center"/>
    </xf>
    <xf numFmtId="164" fontId="0" fillId="0" borderId="8" xfId="0" applyNumberFormat="1" applyBorder="1"/>
    <xf numFmtId="0" fontId="0" fillId="7" borderId="0" xfId="0" applyFill="1"/>
    <xf numFmtId="164" fontId="0" fillId="0" borderId="0" xfId="0" applyNumberFormat="1"/>
    <xf numFmtId="0" fontId="0" fillId="6" borderId="1" xfId="0" applyFill="1" applyBorder="1"/>
    <xf numFmtId="164" fontId="0" fillId="6" borderId="1" xfId="0" applyNumberFormat="1" applyFill="1" applyBorder="1"/>
    <xf numFmtId="0" fontId="0" fillId="0" borderId="1" xfId="0" applyBorder="1" applyAlignment="1">
      <alignment wrapText="1"/>
    </xf>
    <xf numFmtId="43" fontId="0" fillId="0" borderId="0" xfId="1" applyFont="1"/>
    <xf numFmtId="44" fontId="0" fillId="0" borderId="0" xfId="2" applyFont="1"/>
    <xf numFmtId="166" fontId="0" fillId="0" borderId="1" xfId="1" applyNumberFormat="1" applyFont="1" applyBorder="1"/>
    <xf numFmtId="44" fontId="0" fillId="0" borderId="1" xfId="2" applyFont="1" applyBorder="1"/>
    <xf numFmtId="44" fontId="0" fillId="0" borderId="1" xfId="0" applyNumberFormat="1" applyBorder="1"/>
    <xf numFmtId="9" fontId="0" fillId="0" borderId="1" xfId="3" applyFont="1" applyBorder="1"/>
    <xf numFmtId="10" fontId="0" fillId="0" borderId="1" xfId="3" applyNumberFormat="1" applyFont="1" applyBorder="1"/>
    <xf numFmtId="167" fontId="0" fillId="0" borderId="1" xfId="2" applyNumberFormat="1" applyFont="1" applyBorder="1"/>
    <xf numFmtId="167" fontId="0" fillId="0" borderId="0" xfId="0" applyNumberFormat="1"/>
    <xf numFmtId="6" fontId="0" fillId="0" borderId="0" xfId="0" applyNumberFormat="1"/>
    <xf numFmtId="0" fontId="7" fillId="0" borderId="0" xfId="0" applyFont="1"/>
    <xf numFmtId="44" fontId="7" fillId="0" borderId="0" xfId="0" applyNumberFormat="1" applyFont="1"/>
    <xf numFmtId="6" fontId="7" fillId="0" borderId="0" xfId="0" applyNumberFormat="1" applyFont="1"/>
    <xf numFmtId="44" fontId="7" fillId="0" borderId="0" xfId="2" applyFont="1"/>
    <xf numFmtId="6" fontId="7" fillId="0" borderId="0" xfId="2" applyNumberFormat="1" applyFont="1"/>
    <xf numFmtId="10" fontId="0" fillId="6" borderId="1" xfId="3" applyNumberFormat="1" applyFont="1" applyFill="1" applyBorder="1"/>
    <xf numFmtId="8" fontId="7" fillId="0" borderId="0" xfId="0" applyNumberFormat="1" applyFont="1"/>
    <xf numFmtId="44" fontId="0" fillId="6" borderId="1" xfId="2" applyFont="1" applyFill="1" applyBorder="1"/>
    <xf numFmtId="44" fontId="3" fillId="0" borderId="0" xfId="0" applyNumberFormat="1" applyFont="1"/>
    <xf numFmtId="0" fontId="8" fillId="0" borderId="0" xfId="0" applyFont="1"/>
    <xf numFmtId="6" fontId="3" fillId="0" borderId="0" xfId="0" applyNumberFormat="1" applyFont="1"/>
    <xf numFmtId="8" fontId="3" fillId="0" borderId="0" xfId="0" applyNumberFormat="1" applyFont="1"/>
    <xf numFmtId="0" fontId="9" fillId="0" borderId="0" xfId="0" applyFont="1"/>
    <xf numFmtId="0" fontId="10" fillId="0" borderId="0" xfId="0" applyFont="1"/>
    <xf numFmtId="43" fontId="0" fillId="0" borderId="0" xfId="0" applyNumberFormat="1"/>
    <xf numFmtId="169" fontId="7" fillId="0" borderId="0" xfId="0" applyNumberFormat="1" applyFont="1"/>
    <xf numFmtId="167" fontId="7" fillId="0" borderId="0" xfId="0" applyNumberFormat="1" applyFont="1"/>
    <xf numFmtId="166" fontId="7" fillId="0" borderId="0" xfId="1" applyNumberFormat="1" applyFont="1"/>
    <xf numFmtId="168" fontId="7" fillId="0" borderId="0" xfId="2" applyNumberFormat="1" applyFont="1"/>
    <xf numFmtId="168" fontId="7" fillId="0" borderId="0" xfId="0" applyNumberFormat="1" applyFont="1"/>
    <xf numFmtId="6" fontId="0" fillId="0" borderId="1" xfId="0" applyNumberFormat="1" applyBorder="1"/>
    <xf numFmtId="8" fontId="0" fillId="0" borderId="1" xfId="0" applyNumberFormat="1" applyBorder="1"/>
    <xf numFmtId="43" fontId="0" fillId="0" borderId="32" xfId="1" applyFont="1" applyBorder="1"/>
    <xf numFmtId="0" fontId="6" fillId="3" borderId="15" xfId="0" applyFont="1" applyFill="1" applyBorder="1" applyAlignment="1">
      <alignment horizontal="right"/>
    </xf>
    <xf numFmtId="0" fontId="11" fillId="0" borderId="0" xfId="0" applyFont="1" applyAlignment="1">
      <alignment vertical="center"/>
    </xf>
    <xf numFmtId="0" fontId="14" fillId="0" borderId="0" xfId="4"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166" fontId="0" fillId="0" borderId="34" xfId="0" applyNumberFormat="1" applyBorder="1" applyAlignment="1">
      <alignment horizontal="center" wrapText="1"/>
    </xf>
    <xf numFmtId="166" fontId="0" fillId="0" borderId="28" xfId="0" applyNumberFormat="1" applyBorder="1" applyAlignment="1">
      <alignment horizontal="center" wrapText="1"/>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15" xfId="0" applyFont="1" applyFill="1" applyBorder="1" applyAlignment="1">
      <alignment horizontal="center"/>
    </xf>
    <xf numFmtId="0" fontId="3" fillId="0" borderId="19" xfId="0" applyFont="1" applyBorder="1" applyAlignment="1">
      <alignment horizontal="center"/>
    </xf>
    <xf numFmtId="0" fontId="3" fillId="0" borderId="28" xfId="0" applyFont="1" applyBorder="1" applyAlignment="1">
      <alignment horizontal="center"/>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fueleconomy.g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A7DB8-95E8-4DEA-A0B6-DB3A16C7ECF6}">
  <dimension ref="A2:Q7"/>
  <sheetViews>
    <sheetView workbookViewId="0">
      <selection activeCell="I16" sqref="I16"/>
    </sheetView>
  </sheetViews>
  <sheetFormatPr defaultRowHeight="15"/>
  <sheetData>
    <row r="2" spans="1:17">
      <c r="A2" s="139" t="s">
        <v>0</v>
      </c>
    </row>
    <row r="3" spans="1:17" ht="27.95" customHeight="1">
      <c r="A3" s="140" t="s">
        <v>1</v>
      </c>
      <c r="B3" s="140"/>
      <c r="C3" s="140"/>
      <c r="D3" s="140"/>
      <c r="E3" s="140"/>
      <c r="F3" s="140"/>
      <c r="G3" s="140"/>
      <c r="H3" s="140"/>
      <c r="I3" s="140"/>
      <c r="J3" s="140"/>
      <c r="K3" s="140"/>
      <c r="L3" s="140"/>
      <c r="M3" s="140"/>
      <c r="N3" s="140"/>
      <c r="O3" s="140"/>
      <c r="P3" s="140"/>
      <c r="Q3" s="140"/>
    </row>
    <row r="4" spans="1:17">
      <c r="A4" s="141" t="s">
        <v>2</v>
      </c>
      <c r="B4" s="141"/>
      <c r="C4" s="141"/>
      <c r="D4" s="141"/>
      <c r="E4" s="141"/>
      <c r="F4" s="141"/>
      <c r="G4" s="141"/>
      <c r="H4" s="141"/>
      <c r="I4" s="141"/>
      <c r="J4" s="141"/>
      <c r="K4" s="141"/>
      <c r="L4" s="141"/>
      <c r="M4" s="141"/>
      <c r="N4" s="141"/>
      <c r="O4" s="141"/>
      <c r="P4" s="141"/>
      <c r="Q4" s="141"/>
    </row>
    <row r="5" spans="1:17">
      <c r="A5" s="141" t="s">
        <v>3</v>
      </c>
      <c r="B5" s="141"/>
      <c r="C5" s="141"/>
      <c r="D5" s="141"/>
      <c r="E5" s="141"/>
      <c r="F5" s="141"/>
      <c r="G5" s="141"/>
      <c r="H5" s="141"/>
      <c r="I5" s="141"/>
      <c r="J5" s="141"/>
      <c r="K5" s="141"/>
      <c r="L5" s="141"/>
      <c r="M5" s="141"/>
      <c r="N5" s="141"/>
      <c r="O5" s="141"/>
      <c r="P5" s="141"/>
      <c r="Q5" s="141"/>
    </row>
    <row r="6" spans="1:17">
      <c r="A6" s="141" t="s">
        <v>4</v>
      </c>
      <c r="B6" s="141"/>
      <c r="C6" s="141"/>
      <c r="D6" s="141"/>
      <c r="E6" s="141"/>
      <c r="F6" s="141"/>
      <c r="G6" s="141"/>
      <c r="H6" s="141"/>
      <c r="I6" s="141"/>
      <c r="J6" s="141"/>
      <c r="K6" s="141"/>
      <c r="L6" s="141"/>
      <c r="M6" s="141"/>
      <c r="N6" s="141"/>
      <c r="O6" s="141"/>
      <c r="P6" s="141"/>
      <c r="Q6" s="141"/>
    </row>
    <row r="7" spans="1:17" ht="39.6" customHeight="1">
      <c r="A7" s="142" t="s">
        <v>5</v>
      </c>
      <c r="B7" s="142"/>
      <c r="C7" s="142"/>
      <c r="D7" s="142"/>
      <c r="E7" s="142"/>
      <c r="F7" s="142"/>
      <c r="G7" s="142"/>
      <c r="H7" s="142"/>
      <c r="I7" s="142"/>
      <c r="J7" s="142"/>
      <c r="K7" s="142"/>
      <c r="L7" s="142"/>
      <c r="M7" s="142"/>
      <c r="N7" s="142"/>
      <c r="O7" s="142"/>
      <c r="P7" s="142"/>
      <c r="Q7" s="142"/>
    </row>
  </sheetData>
  <mergeCells count="5">
    <mergeCell ref="A3:Q3"/>
    <mergeCell ref="A4:Q4"/>
    <mergeCell ref="A5:Q5"/>
    <mergeCell ref="A6:Q6"/>
    <mergeCell ref="A7:Q7"/>
  </mergeCells>
  <hyperlinks>
    <hyperlink ref="A3" r:id="rId1" display="http://fueleconomy.gov/" xr:uid="{D325E55E-DBE9-46F1-8D5F-F17602BE14A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589DE-C12B-4F7B-9762-6D8A36A54FA3}">
  <dimension ref="A1:BL39"/>
  <sheetViews>
    <sheetView zoomScaleNormal="100" workbookViewId="0">
      <selection activeCell="AM35" sqref="AM35:BL35"/>
    </sheetView>
  </sheetViews>
  <sheetFormatPr defaultRowHeight="15"/>
  <cols>
    <col min="1" max="1" width="18.7109375" customWidth="1"/>
    <col min="2" max="2" width="13.85546875" hidden="1" customWidth="1"/>
    <col min="3" max="3" width="37.42578125" customWidth="1"/>
    <col min="4" max="5" width="12.5703125" customWidth="1"/>
    <col min="6" max="6" width="8.140625" hidden="1" customWidth="1"/>
    <col min="7" max="7" width="18.7109375" hidden="1" customWidth="1"/>
    <col min="8" max="8" width="12.7109375" customWidth="1"/>
    <col min="9" max="9" width="9.140625" hidden="1" customWidth="1"/>
    <col min="10" max="10" width="12.7109375" hidden="1" customWidth="1"/>
    <col min="11" max="12" width="12.7109375" customWidth="1"/>
    <col min="13" max="36" width="7.7109375" customWidth="1"/>
    <col min="37" max="37" width="8.140625" bestFit="1" customWidth="1"/>
    <col min="38" max="38" width="7.7109375" customWidth="1"/>
    <col min="39" max="39" width="8.140625" bestFit="1" customWidth="1"/>
    <col min="40" max="64" width="7.7109375" customWidth="1"/>
  </cols>
  <sheetData>
    <row r="1" spans="1:64">
      <c r="C1" t="s">
        <v>6</v>
      </c>
      <c r="D1" s="101">
        <f>SUM(M35:AL35)</f>
        <v>2020.4963999999982</v>
      </c>
    </row>
    <row r="2" spans="1:64">
      <c r="C2" t="s">
        <v>7</v>
      </c>
      <c r="D2" s="101">
        <f>SUM(AM35:BL35)</f>
        <v>546.33698997196814</v>
      </c>
    </row>
    <row r="3" spans="1:64">
      <c r="C3" s="102" t="s">
        <v>8</v>
      </c>
      <c r="D3" s="103">
        <f>D1-D2</f>
        <v>1474.1594100280299</v>
      </c>
    </row>
    <row r="5" spans="1:64">
      <c r="C5" t="s">
        <v>9</v>
      </c>
      <c r="D5">
        <v>3.25</v>
      </c>
      <c r="E5" t="s">
        <v>10</v>
      </c>
      <c r="K5" s="105">
        <f>25/7</f>
        <v>3.5714285714285716</v>
      </c>
    </row>
    <row r="6" spans="1:64">
      <c r="C6" t="s">
        <v>11</v>
      </c>
      <c r="D6">
        <v>539.4</v>
      </c>
      <c r="E6" t="s">
        <v>12</v>
      </c>
    </row>
    <row r="7" spans="1:64" ht="15.75" thickBot="1">
      <c r="C7" t="s">
        <v>13</v>
      </c>
      <c r="D7">
        <f>D6/2204.62</f>
        <v>0.24466801534958404</v>
      </c>
      <c r="E7" t="s">
        <v>14</v>
      </c>
    </row>
    <row r="8" spans="1:64" ht="15.75" thickBot="1">
      <c r="M8" s="143" t="s">
        <v>15</v>
      </c>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5"/>
      <c r="AM8" s="146" t="s">
        <v>16</v>
      </c>
      <c r="AN8" s="146"/>
      <c r="AO8" s="146"/>
      <c r="AP8" s="146"/>
      <c r="AQ8" s="146"/>
      <c r="AR8" s="146"/>
      <c r="AS8" s="146"/>
      <c r="AT8" s="146"/>
      <c r="AU8" s="146"/>
      <c r="AV8" s="146"/>
      <c r="AW8" s="146"/>
      <c r="AX8" s="146"/>
      <c r="AY8" s="146"/>
      <c r="AZ8" s="146"/>
      <c r="BA8" s="146"/>
      <c r="BB8" s="146"/>
      <c r="BC8" s="146"/>
      <c r="BD8" s="146"/>
      <c r="BE8" s="146"/>
      <c r="BF8" s="146"/>
      <c r="BG8" s="146"/>
      <c r="BH8" s="146"/>
      <c r="BI8" s="146"/>
      <c r="BJ8" s="146"/>
      <c r="BK8" s="146"/>
      <c r="BL8" s="147"/>
    </row>
    <row r="9" spans="1:64" ht="48" thickBot="1">
      <c r="A9" s="26" t="s">
        <v>17</v>
      </c>
      <c r="B9" s="9" t="s">
        <v>18</v>
      </c>
      <c r="C9" s="18" t="s">
        <v>19</v>
      </c>
      <c r="D9" s="25" t="s">
        <v>20</v>
      </c>
      <c r="E9" s="30" t="s">
        <v>21</v>
      </c>
      <c r="F9" s="9" t="s">
        <v>22</v>
      </c>
      <c r="G9" s="9" t="s">
        <v>23</v>
      </c>
      <c r="H9" s="30" t="s">
        <v>24</v>
      </c>
      <c r="I9" s="11" t="s">
        <v>25</v>
      </c>
      <c r="J9" s="10" t="s">
        <v>26</v>
      </c>
      <c r="K9" s="30" t="s">
        <v>27</v>
      </c>
      <c r="L9" s="22" t="s">
        <v>28</v>
      </c>
      <c r="M9" s="12">
        <v>2025</v>
      </c>
      <c r="N9" s="17">
        <v>2026</v>
      </c>
      <c r="O9" s="17">
        <v>2027</v>
      </c>
      <c r="P9" s="17">
        <v>2028</v>
      </c>
      <c r="Q9" s="17">
        <v>2029</v>
      </c>
      <c r="R9" s="17">
        <v>2030</v>
      </c>
      <c r="S9" s="17">
        <v>2031</v>
      </c>
      <c r="T9" s="17">
        <v>2032</v>
      </c>
      <c r="U9" s="17">
        <v>2033</v>
      </c>
      <c r="V9" s="17">
        <v>2034</v>
      </c>
      <c r="W9" s="17">
        <v>2035</v>
      </c>
      <c r="X9" s="17">
        <v>2036</v>
      </c>
      <c r="Y9" s="17">
        <v>2037</v>
      </c>
      <c r="Z9" s="17">
        <v>2038</v>
      </c>
      <c r="AA9" s="17">
        <v>2039</v>
      </c>
      <c r="AB9" s="17">
        <v>2040</v>
      </c>
      <c r="AC9" s="17">
        <v>2041</v>
      </c>
      <c r="AD9" s="17">
        <v>2042</v>
      </c>
      <c r="AE9" s="17">
        <v>2043</v>
      </c>
      <c r="AF9" s="17">
        <v>2044</v>
      </c>
      <c r="AG9" s="17">
        <v>2045</v>
      </c>
      <c r="AH9" s="17">
        <v>2046</v>
      </c>
      <c r="AI9" s="17">
        <v>2047</v>
      </c>
      <c r="AJ9" s="17">
        <v>2048</v>
      </c>
      <c r="AK9" s="17">
        <v>2049</v>
      </c>
      <c r="AL9" s="13">
        <v>2050</v>
      </c>
      <c r="AM9" s="14">
        <v>2025</v>
      </c>
      <c r="AN9" s="17">
        <v>2026</v>
      </c>
      <c r="AO9" s="98">
        <v>2027</v>
      </c>
      <c r="AP9" s="17">
        <v>2028</v>
      </c>
      <c r="AQ9" s="17">
        <v>2029</v>
      </c>
      <c r="AR9" s="17">
        <v>2030</v>
      </c>
      <c r="AS9" s="17">
        <v>2031</v>
      </c>
      <c r="AT9" s="17">
        <v>2032</v>
      </c>
      <c r="AU9" s="17">
        <v>2033</v>
      </c>
      <c r="AV9" s="17">
        <v>2034</v>
      </c>
      <c r="AW9" s="17">
        <v>2035</v>
      </c>
      <c r="AX9" s="17">
        <v>2036</v>
      </c>
      <c r="AY9" s="17">
        <v>2037</v>
      </c>
      <c r="AZ9" s="17">
        <v>2038</v>
      </c>
      <c r="BA9" s="17">
        <v>2039</v>
      </c>
      <c r="BB9" s="17">
        <v>2040</v>
      </c>
      <c r="BC9" s="17">
        <v>2041</v>
      </c>
      <c r="BD9" s="17">
        <v>2042</v>
      </c>
      <c r="BE9" s="17">
        <v>2043</v>
      </c>
      <c r="BF9" s="17">
        <v>2044</v>
      </c>
      <c r="BG9" s="17">
        <v>2045</v>
      </c>
      <c r="BH9" s="17">
        <v>2046</v>
      </c>
      <c r="BI9" s="17">
        <v>2047</v>
      </c>
      <c r="BJ9" s="17">
        <v>2048</v>
      </c>
      <c r="BK9" s="17">
        <v>2049</v>
      </c>
      <c r="BL9" s="13">
        <v>2050</v>
      </c>
    </row>
    <row r="10" spans="1:64" ht="15.75">
      <c r="A10" s="27" t="s">
        <v>29</v>
      </c>
      <c r="B10" s="7" t="s">
        <v>30</v>
      </c>
      <c r="C10" s="19" t="s">
        <v>31</v>
      </c>
      <c r="D10" s="19">
        <v>592</v>
      </c>
      <c r="E10" s="31">
        <f>30*5*52</f>
        <v>7800</v>
      </c>
      <c r="F10" s="7" t="s">
        <v>32</v>
      </c>
      <c r="G10" s="7" t="s">
        <v>33</v>
      </c>
      <c r="H10" s="33">
        <v>2007</v>
      </c>
      <c r="I10" s="7" t="s">
        <v>34</v>
      </c>
      <c r="J10" s="8" t="s">
        <v>35</v>
      </c>
      <c r="K10" s="31">
        <v>2017</v>
      </c>
      <c r="L10" s="23">
        <v>2027</v>
      </c>
      <c r="M10" s="39">
        <f>($D10*$E10)/1000000</f>
        <v>4.6176000000000004</v>
      </c>
      <c r="N10" s="40">
        <f t="shared" ref="N10:AL20" si="0">($D10*$E10)/1000000</f>
        <v>4.6176000000000004</v>
      </c>
      <c r="O10" s="40">
        <f t="shared" si="0"/>
        <v>4.6176000000000004</v>
      </c>
      <c r="P10" s="40">
        <f t="shared" si="0"/>
        <v>4.6176000000000004</v>
      </c>
      <c r="Q10" s="40">
        <f t="shared" si="0"/>
        <v>4.6176000000000004</v>
      </c>
      <c r="R10" s="40">
        <f t="shared" si="0"/>
        <v>4.6176000000000004</v>
      </c>
      <c r="S10" s="40">
        <f t="shared" si="0"/>
        <v>4.6176000000000004</v>
      </c>
      <c r="T10" s="40">
        <f t="shared" si="0"/>
        <v>4.6176000000000004</v>
      </c>
      <c r="U10" s="40">
        <f t="shared" si="0"/>
        <v>4.6176000000000004</v>
      </c>
      <c r="V10" s="40">
        <f t="shared" si="0"/>
        <v>4.6176000000000004</v>
      </c>
      <c r="W10" s="40">
        <f t="shared" si="0"/>
        <v>4.6176000000000004</v>
      </c>
      <c r="X10" s="40">
        <f t="shared" si="0"/>
        <v>4.6176000000000004</v>
      </c>
      <c r="Y10" s="40">
        <f t="shared" si="0"/>
        <v>4.6176000000000004</v>
      </c>
      <c r="Z10" s="40">
        <f t="shared" si="0"/>
        <v>4.6176000000000004</v>
      </c>
      <c r="AA10" s="40">
        <f t="shared" si="0"/>
        <v>4.6176000000000004</v>
      </c>
      <c r="AB10" s="40">
        <f t="shared" si="0"/>
        <v>4.6176000000000004</v>
      </c>
      <c r="AC10" s="40">
        <f t="shared" si="0"/>
        <v>4.6176000000000004</v>
      </c>
      <c r="AD10" s="40">
        <f t="shared" si="0"/>
        <v>4.6176000000000004</v>
      </c>
      <c r="AE10" s="40">
        <f t="shared" si="0"/>
        <v>4.6176000000000004</v>
      </c>
      <c r="AF10" s="40">
        <f t="shared" si="0"/>
        <v>4.6176000000000004</v>
      </c>
      <c r="AG10" s="40">
        <f t="shared" si="0"/>
        <v>4.6176000000000004</v>
      </c>
      <c r="AH10" s="40">
        <f t="shared" si="0"/>
        <v>4.6176000000000004</v>
      </c>
      <c r="AI10" s="40">
        <f t="shared" si="0"/>
        <v>4.6176000000000004</v>
      </c>
      <c r="AJ10" s="40">
        <f t="shared" si="0"/>
        <v>4.6176000000000004</v>
      </c>
      <c r="AK10" s="40">
        <f t="shared" si="0"/>
        <v>4.6176000000000004</v>
      </c>
      <c r="AL10" s="41">
        <f t="shared" si="0"/>
        <v>4.6176000000000004</v>
      </c>
      <c r="AM10" s="42">
        <f>($D10*$E10)/1000000</f>
        <v>4.6176000000000004</v>
      </c>
      <c r="AN10" s="96">
        <f>($D10*$E10)/1000000</f>
        <v>4.6176000000000004</v>
      </c>
      <c r="AO10" s="100">
        <f>(($E10/$D$5)/1000)*$D$7</f>
        <v>0.58720323683900166</v>
      </c>
      <c r="AP10" s="100">
        <f>(($E10/$D$5)/1000)*$D$7</f>
        <v>0.58720323683900166</v>
      </c>
      <c r="AQ10" s="100">
        <f>(($E10/$D$5)/1000)*$D$7</f>
        <v>0.58720323683900166</v>
      </c>
      <c r="AR10" s="100">
        <f t="shared" ref="AR10:BL22" si="1">(($E10/$D$5)/1000)*$D$7</f>
        <v>0.58720323683900166</v>
      </c>
      <c r="AS10" s="100">
        <f t="shared" si="1"/>
        <v>0.58720323683900166</v>
      </c>
      <c r="AT10" s="100">
        <f t="shared" si="1"/>
        <v>0.58720323683900166</v>
      </c>
      <c r="AU10" s="100">
        <f t="shared" si="1"/>
        <v>0.58720323683900166</v>
      </c>
      <c r="AV10" s="100">
        <f t="shared" si="1"/>
        <v>0.58720323683900166</v>
      </c>
      <c r="AW10" s="100">
        <f t="shared" si="1"/>
        <v>0.58720323683900166</v>
      </c>
      <c r="AX10" s="100">
        <f t="shared" si="1"/>
        <v>0.58720323683900166</v>
      </c>
      <c r="AY10" s="100">
        <f t="shared" si="1"/>
        <v>0.58720323683900166</v>
      </c>
      <c r="AZ10" s="100">
        <f t="shared" si="1"/>
        <v>0.58720323683900166</v>
      </c>
      <c r="BA10" s="100">
        <f t="shared" si="1"/>
        <v>0.58720323683900166</v>
      </c>
      <c r="BB10" s="100">
        <f t="shared" si="1"/>
        <v>0.58720323683900166</v>
      </c>
      <c r="BC10" s="100">
        <f t="shared" si="1"/>
        <v>0.58720323683900166</v>
      </c>
      <c r="BD10" s="100">
        <f t="shared" si="1"/>
        <v>0.58720323683900166</v>
      </c>
      <c r="BE10" s="100">
        <f t="shared" si="1"/>
        <v>0.58720323683900166</v>
      </c>
      <c r="BF10" s="100">
        <f t="shared" si="1"/>
        <v>0.58720323683900166</v>
      </c>
      <c r="BG10" s="100">
        <f t="shared" si="1"/>
        <v>0.58720323683900166</v>
      </c>
      <c r="BH10" s="100">
        <f t="shared" si="1"/>
        <v>0.58720323683900166</v>
      </c>
      <c r="BI10" s="100">
        <f t="shared" si="1"/>
        <v>0.58720323683900166</v>
      </c>
      <c r="BJ10" s="100">
        <f t="shared" si="1"/>
        <v>0.58720323683900166</v>
      </c>
      <c r="BK10" s="100">
        <f t="shared" si="1"/>
        <v>0.58720323683900166</v>
      </c>
      <c r="BL10" s="100">
        <f t="shared" si="1"/>
        <v>0.58720323683900166</v>
      </c>
    </row>
    <row r="11" spans="1:64" ht="15.75">
      <c r="A11" s="28" t="s">
        <v>36</v>
      </c>
      <c r="B11" s="6" t="s">
        <v>37</v>
      </c>
      <c r="C11" s="20" t="s">
        <v>38</v>
      </c>
      <c r="D11" s="21">
        <v>523</v>
      </c>
      <c r="E11" s="32">
        <f t="shared" ref="E11:E33" si="2">30*5*52</f>
        <v>7800</v>
      </c>
      <c r="F11" s="4" t="s">
        <v>39</v>
      </c>
      <c r="G11" s="4" t="s">
        <v>33</v>
      </c>
      <c r="H11" s="34">
        <v>2010</v>
      </c>
      <c r="I11" s="4" t="s">
        <v>40</v>
      </c>
      <c r="J11" s="1" t="s">
        <v>35</v>
      </c>
      <c r="K11" s="32">
        <v>2020</v>
      </c>
      <c r="L11" s="24">
        <v>2027</v>
      </c>
      <c r="M11" s="43">
        <f t="shared" ref="M11:AB33" si="3">($D11*$E11)/1000000</f>
        <v>4.0793999999999997</v>
      </c>
      <c r="N11" s="44">
        <f t="shared" si="0"/>
        <v>4.0793999999999997</v>
      </c>
      <c r="O11" s="44">
        <f t="shared" si="0"/>
        <v>4.0793999999999997</v>
      </c>
      <c r="P11" s="44">
        <f t="shared" si="0"/>
        <v>4.0793999999999997</v>
      </c>
      <c r="Q11" s="44">
        <f t="shared" si="0"/>
        <v>4.0793999999999997</v>
      </c>
      <c r="R11" s="44">
        <f t="shared" si="0"/>
        <v>4.0793999999999997</v>
      </c>
      <c r="S11" s="44">
        <f t="shared" si="0"/>
        <v>4.0793999999999997</v>
      </c>
      <c r="T11" s="44">
        <f t="shared" si="0"/>
        <v>4.0793999999999997</v>
      </c>
      <c r="U11" s="44">
        <f t="shared" si="0"/>
        <v>4.0793999999999997</v>
      </c>
      <c r="V11" s="44">
        <f t="shared" si="0"/>
        <v>4.0793999999999997</v>
      </c>
      <c r="W11" s="44">
        <f t="shared" si="0"/>
        <v>4.0793999999999997</v>
      </c>
      <c r="X11" s="44">
        <f t="shared" si="0"/>
        <v>4.0793999999999997</v>
      </c>
      <c r="Y11" s="44">
        <f t="shared" si="0"/>
        <v>4.0793999999999997</v>
      </c>
      <c r="Z11" s="44">
        <f t="shared" si="0"/>
        <v>4.0793999999999997</v>
      </c>
      <c r="AA11" s="44">
        <f t="shared" si="0"/>
        <v>4.0793999999999997</v>
      </c>
      <c r="AB11" s="44">
        <f t="shared" si="0"/>
        <v>4.0793999999999997</v>
      </c>
      <c r="AC11" s="44">
        <f t="shared" si="0"/>
        <v>4.0793999999999997</v>
      </c>
      <c r="AD11" s="44">
        <f t="shared" si="0"/>
        <v>4.0793999999999997</v>
      </c>
      <c r="AE11" s="44">
        <f t="shared" si="0"/>
        <v>4.0793999999999997</v>
      </c>
      <c r="AF11" s="44">
        <f t="shared" si="0"/>
        <v>4.0793999999999997</v>
      </c>
      <c r="AG11" s="44">
        <f t="shared" si="0"/>
        <v>4.0793999999999997</v>
      </c>
      <c r="AH11" s="44">
        <f t="shared" si="0"/>
        <v>4.0793999999999997</v>
      </c>
      <c r="AI11" s="44">
        <f t="shared" si="0"/>
        <v>4.0793999999999997</v>
      </c>
      <c r="AJ11" s="44">
        <f t="shared" si="0"/>
        <v>4.0793999999999997</v>
      </c>
      <c r="AK11" s="44">
        <f t="shared" si="0"/>
        <v>4.0793999999999997</v>
      </c>
      <c r="AL11" s="45">
        <f t="shared" si="0"/>
        <v>4.0793999999999997</v>
      </c>
      <c r="AM11" s="46">
        <f t="shared" ref="AM11:AP33" si="4">($D11*$E11)/1000000</f>
        <v>4.0793999999999997</v>
      </c>
      <c r="AN11" s="97">
        <f t="shared" si="4"/>
        <v>4.0793999999999997</v>
      </c>
      <c r="AO11" s="100">
        <f t="shared" ref="AO11:BD26" si="5">(($E11/$D$5)/1000)*$D$7</f>
        <v>0.58720323683900166</v>
      </c>
      <c r="AP11" s="100">
        <f t="shared" si="5"/>
        <v>0.58720323683900166</v>
      </c>
      <c r="AQ11" s="100">
        <f t="shared" si="5"/>
        <v>0.58720323683900166</v>
      </c>
      <c r="AR11" s="100">
        <f t="shared" si="5"/>
        <v>0.58720323683900166</v>
      </c>
      <c r="AS11" s="100">
        <f t="shared" si="5"/>
        <v>0.58720323683900166</v>
      </c>
      <c r="AT11" s="100">
        <f t="shared" si="5"/>
        <v>0.58720323683900166</v>
      </c>
      <c r="AU11" s="100">
        <f t="shared" si="5"/>
        <v>0.58720323683900166</v>
      </c>
      <c r="AV11" s="100">
        <f t="shared" si="5"/>
        <v>0.58720323683900166</v>
      </c>
      <c r="AW11" s="100">
        <f t="shared" si="5"/>
        <v>0.58720323683900166</v>
      </c>
      <c r="AX11" s="100">
        <f t="shared" si="5"/>
        <v>0.58720323683900166</v>
      </c>
      <c r="AY11" s="100">
        <f t="shared" si="5"/>
        <v>0.58720323683900166</v>
      </c>
      <c r="AZ11" s="100">
        <f t="shared" si="5"/>
        <v>0.58720323683900166</v>
      </c>
      <c r="BA11" s="100">
        <f t="shared" si="5"/>
        <v>0.58720323683900166</v>
      </c>
      <c r="BB11" s="100">
        <f t="shared" si="5"/>
        <v>0.58720323683900166</v>
      </c>
      <c r="BC11" s="100">
        <f t="shared" si="5"/>
        <v>0.58720323683900166</v>
      </c>
      <c r="BD11" s="100">
        <f t="shared" si="5"/>
        <v>0.58720323683900166</v>
      </c>
      <c r="BE11" s="100">
        <f t="shared" si="1"/>
        <v>0.58720323683900166</v>
      </c>
      <c r="BF11" s="100">
        <f t="shared" si="1"/>
        <v>0.58720323683900166</v>
      </c>
      <c r="BG11" s="100">
        <f t="shared" si="1"/>
        <v>0.58720323683900166</v>
      </c>
      <c r="BH11" s="100">
        <f t="shared" si="1"/>
        <v>0.58720323683900166</v>
      </c>
      <c r="BI11" s="100">
        <f t="shared" si="1"/>
        <v>0.58720323683900166</v>
      </c>
      <c r="BJ11" s="100">
        <f t="shared" si="1"/>
        <v>0.58720323683900166</v>
      </c>
      <c r="BK11" s="100">
        <f t="shared" si="1"/>
        <v>0.58720323683900166</v>
      </c>
      <c r="BL11" s="100">
        <f t="shared" si="1"/>
        <v>0.58720323683900166</v>
      </c>
    </row>
    <row r="12" spans="1:64" ht="15.75">
      <c r="A12" s="28" t="s">
        <v>41</v>
      </c>
      <c r="B12" s="4" t="s">
        <v>42</v>
      </c>
      <c r="C12" s="21" t="s">
        <v>43</v>
      </c>
      <c r="D12" s="21">
        <v>386</v>
      </c>
      <c r="E12" s="32">
        <f t="shared" si="2"/>
        <v>7800</v>
      </c>
      <c r="F12" s="4" t="s">
        <v>32</v>
      </c>
      <c r="G12" s="4" t="s">
        <v>33</v>
      </c>
      <c r="H12" s="34">
        <v>2006</v>
      </c>
      <c r="I12" s="4" t="s">
        <v>34</v>
      </c>
      <c r="J12" s="1" t="s">
        <v>35</v>
      </c>
      <c r="K12" s="32">
        <v>2021</v>
      </c>
      <c r="L12" s="24">
        <v>2027</v>
      </c>
      <c r="M12" s="43">
        <f t="shared" si="3"/>
        <v>3.0108000000000001</v>
      </c>
      <c r="N12" s="44">
        <f t="shared" si="0"/>
        <v>3.0108000000000001</v>
      </c>
      <c r="O12" s="44">
        <f t="shared" si="0"/>
        <v>3.0108000000000001</v>
      </c>
      <c r="P12" s="44">
        <f t="shared" si="0"/>
        <v>3.0108000000000001</v>
      </c>
      <c r="Q12" s="44">
        <f t="shared" si="0"/>
        <v>3.0108000000000001</v>
      </c>
      <c r="R12" s="44">
        <f t="shared" si="0"/>
        <v>3.0108000000000001</v>
      </c>
      <c r="S12" s="44">
        <f t="shared" si="0"/>
        <v>3.0108000000000001</v>
      </c>
      <c r="T12" s="44">
        <f t="shared" si="0"/>
        <v>3.0108000000000001</v>
      </c>
      <c r="U12" s="44">
        <f t="shared" si="0"/>
        <v>3.0108000000000001</v>
      </c>
      <c r="V12" s="44">
        <f t="shared" si="0"/>
        <v>3.0108000000000001</v>
      </c>
      <c r="W12" s="44">
        <f t="shared" si="0"/>
        <v>3.0108000000000001</v>
      </c>
      <c r="X12" s="44">
        <f t="shared" si="0"/>
        <v>3.0108000000000001</v>
      </c>
      <c r="Y12" s="44">
        <f t="shared" si="0"/>
        <v>3.0108000000000001</v>
      </c>
      <c r="Z12" s="44">
        <f t="shared" si="0"/>
        <v>3.0108000000000001</v>
      </c>
      <c r="AA12" s="44">
        <f t="shared" si="0"/>
        <v>3.0108000000000001</v>
      </c>
      <c r="AB12" s="44">
        <f t="shared" si="0"/>
        <v>3.0108000000000001</v>
      </c>
      <c r="AC12" s="44">
        <f t="shared" si="0"/>
        <v>3.0108000000000001</v>
      </c>
      <c r="AD12" s="44">
        <f t="shared" si="0"/>
        <v>3.0108000000000001</v>
      </c>
      <c r="AE12" s="44">
        <f t="shared" si="0"/>
        <v>3.0108000000000001</v>
      </c>
      <c r="AF12" s="44">
        <f t="shared" si="0"/>
        <v>3.0108000000000001</v>
      </c>
      <c r="AG12" s="44">
        <f t="shared" si="0"/>
        <v>3.0108000000000001</v>
      </c>
      <c r="AH12" s="44">
        <f t="shared" si="0"/>
        <v>3.0108000000000001</v>
      </c>
      <c r="AI12" s="44">
        <f t="shared" si="0"/>
        <v>3.0108000000000001</v>
      </c>
      <c r="AJ12" s="44">
        <f t="shared" si="0"/>
        <v>3.0108000000000001</v>
      </c>
      <c r="AK12" s="44">
        <f t="shared" si="0"/>
        <v>3.0108000000000001</v>
      </c>
      <c r="AL12" s="45">
        <f t="shared" si="0"/>
        <v>3.0108000000000001</v>
      </c>
      <c r="AM12" s="46">
        <f t="shared" si="4"/>
        <v>3.0108000000000001</v>
      </c>
      <c r="AN12" s="97">
        <f t="shared" si="4"/>
        <v>3.0108000000000001</v>
      </c>
      <c r="AO12" s="100">
        <f t="shared" si="5"/>
        <v>0.58720323683900166</v>
      </c>
      <c r="AP12" s="100">
        <f t="shared" si="5"/>
        <v>0.58720323683900166</v>
      </c>
      <c r="AQ12" s="100">
        <f t="shared" si="5"/>
        <v>0.58720323683900166</v>
      </c>
      <c r="AR12" s="100">
        <f t="shared" si="1"/>
        <v>0.58720323683900166</v>
      </c>
      <c r="AS12" s="100">
        <f t="shared" si="1"/>
        <v>0.58720323683900166</v>
      </c>
      <c r="AT12" s="100">
        <f t="shared" si="1"/>
        <v>0.58720323683900166</v>
      </c>
      <c r="AU12" s="100">
        <f t="shared" si="1"/>
        <v>0.58720323683900166</v>
      </c>
      <c r="AV12" s="100">
        <f t="shared" si="1"/>
        <v>0.58720323683900166</v>
      </c>
      <c r="AW12" s="100">
        <f t="shared" si="1"/>
        <v>0.58720323683900166</v>
      </c>
      <c r="AX12" s="100">
        <f t="shared" si="1"/>
        <v>0.58720323683900166</v>
      </c>
      <c r="AY12" s="100">
        <f t="shared" si="1"/>
        <v>0.58720323683900166</v>
      </c>
      <c r="AZ12" s="100">
        <f t="shared" si="1"/>
        <v>0.58720323683900166</v>
      </c>
      <c r="BA12" s="100">
        <f t="shared" si="1"/>
        <v>0.58720323683900166</v>
      </c>
      <c r="BB12" s="100">
        <f t="shared" si="1"/>
        <v>0.58720323683900166</v>
      </c>
      <c r="BC12" s="100">
        <f t="shared" si="1"/>
        <v>0.58720323683900166</v>
      </c>
      <c r="BD12" s="100">
        <f t="shared" si="1"/>
        <v>0.58720323683900166</v>
      </c>
      <c r="BE12" s="100">
        <f t="shared" si="1"/>
        <v>0.58720323683900166</v>
      </c>
      <c r="BF12" s="100">
        <f t="shared" si="1"/>
        <v>0.58720323683900166</v>
      </c>
      <c r="BG12" s="100">
        <f t="shared" si="1"/>
        <v>0.58720323683900166</v>
      </c>
      <c r="BH12" s="100">
        <f t="shared" si="1"/>
        <v>0.58720323683900166</v>
      </c>
      <c r="BI12" s="100">
        <f t="shared" si="1"/>
        <v>0.58720323683900166</v>
      </c>
      <c r="BJ12" s="100">
        <f t="shared" si="1"/>
        <v>0.58720323683900166</v>
      </c>
      <c r="BK12" s="100">
        <f t="shared" si="1"/>
        <v>0.58720323683900166</v>
      </c>
      <c r="BL12" s="100">
        <f t="shared" si="1"/>
        <v>0.58720323683900166</v>
      </c>
    </row>
    <row r="13" spans="1:64" ht="15.75">
      <c r="A13" s="28" t="s">
        <v>44</v>
      </c>
      <c r="B13" s="4" t="s">
        <v>45</v>
      </c>
      <c r="C13" s="21" t="s">
        <v>46</v>
      </c>
      <c r="D13" s="21">
        <v>287</v>
      </c>
      <c r="E13" s="32">
        <f t="shared" si="2"/>
        <v>7800</v>
      </c>
      <c r="F13" s="4" t="s">
        <v>47</v>
      </c>
      <c r="G13" s="4" t="s">
        <v>48</v>
      </c>
      <c r="H13" s="35">
        <v>2012</v>
      </c>
      <c r="I13" s="4" t="s">
        <v>49</v>
      </c>
      <c r="J13" s="1" t="s">
        <v>50</v>
      </c>
      <c r="K13" s="32">
        <v>2022</v>
      </c>
      <c r="L13" s="24">
        <v>2027</v>
      </c>
      <c r="M13" s="43">
        <f t="shared" si="3"/>
        <v>2.2385999999999999</v>
      </c>
      <c r="N13" s="44">
        <f t="shared" si="0"/>
        <v>2.2385999999999999</v>
      </c>
      <c r="O13" s="44">
        <f t="shared" si="0"/>
        <v>2.2385999999999999</v>
      </c>
      <c r="P13" s="44">
        <f t="shared" si="0"/>
        <v>2.2385999999999999</v>
      </c>
      <c r="Q13" s="44">
        <f t="shared" si="0"/>
        <v>2.2385999999999999</v>
      </c>
      <c r="R13" s="44">
        <f t="shared" si="0"/>
        <v>2.2385999999999999</v>
      </c>
      <c r="S13" s="44">
        <f t="shared" si="0"/>
        <v>2.2385999999999999</v>
      </c>
      <c r="T13" s="44">
        <f t="shared" si="0"/>
        <v>2.2385999999999999</v>
      </c>
      <c r="U13" s="44">
        <f t="shared" si="0"/>
        <v>2.2385999999999999</v>
      </c>
      <c r="V13" s="44">
        <f t="shared" si="0"/>
        <v>2.2385999999999999</v>
      </c>
      <c r="W13" s="44">
        <f t="shared" si="0"/>
        <v>2.2385999999999999</v>
      </c>
      <c r="X13" s="44">
        <f t="shared" si="0"/>
        <v>2.2385999999999999</v>
      </c>
      <c r="Y13" s="44">
        <f t="shared" si="0"/>
        <v>2.2385999999999999</v>
      </c>
      <c r="Z13" s="44">
        <f t="shared" si="0"/>
        <v>2.2385999999999999</v>
      </c>
      <c r="AA13" s="44">
        <f t="shared" si="0"/>
        <v>2.2385999999999999</v>
      </c>
      <c r="AB13" s="44">
        <f t="shared" si="0"/>
        <v>2.2385999999999999</v>
      </c>
      <c r="AC13" s="44">
        <f t="shared" si="0"/>
        <v>2.2385999999999999</v>
      </c>
      <c r="AD13" s="44">
        <f t="shared" si="0"/>
        <v>2.2385999999999999</v>
      </c>
      <c r="AE13" s="44">
        <f t="shared" si="0"/>
        <v>2.2385999999999999</v>
      </c>
      <c r="AF13" s="44">
        <f t="shared" si="0"/>
        <v>2.2385999999999999</v>
      </c>
      <c r="AG13" s="44">
        <f t="shared" si="0"/>
        <v>2.2385999999999999</v>
      </c>
      <c r="AH13" s="44">
        <f t="shared" si="0"/>
        <v>2.2385999999999999</v>
      </c>
      <c r="AI13" s="44">
        <f t="shared" si="0"/>
        <v>2.2385999999999999</v>
      </c>
      <c r="AJ13" s="44">
        <f t="shared" si="0"/>
        <v>2.2385999999999999</v>
      </c>
      <c r="AK13" s="44">
        <f t="shared" si="0"/>
        <v>2.2385999999999999</v>
      </c>
      <c r="AL13" s="45">
        <f t="shared" si="0"/>
        <v>2.2385999999999999</v>
      </c>
      <c r="AM13" s="46">
        <f t="shared" si="4"/>
        <v>2.2385999999999999</v>
      </c>
      <c r="AN13" s="97">
        <f t="shared" si="4"/>
        <v>2.2385999999999999</v>
      </c>
      <c r="AO13" s="100">
        <f t="shared" si="5"/>
        <v>0.58720323683900166</v>
      </c>
      <c r="AP13" s="100">
        <f t="shared" si="5"/>
        <v>0.58720323683900166</v>
      </c>
      <c r="AQ13" s="100">
        <f t="shared" si="5"/>
        <v>0.58720323683900166</v>
      </c>
      <c r="AR13" s="100">
        <f t="shared" si="1"/>
        <v>0.58720323683900166</v>
      </c>
      <c r="AS13" s="100">
        <f t="shared" si="1"/>
        <v>0.58720323683900166</v>
      </c>
      <c r="AT13" s="100">
        <f t="shared" si="1"/>
        <v>0.58720323683900166</v>
      </c>
      <c r="AU13" s="100">
        <f t="shared" si="1"/>
        <v>0.58720323683900166</v>
      </c>
      <c r="AV13" s="100">
        <f t="shared" si="1"/>
        <v>0.58720323683900166</v>
      </c>
      <c r="AW13" s="100">
        <f t="shared" si="1"/>
        <v>0.58720323683900166</v>
      </c>
      <c r="AX13" s="100">
        <f t="shared" si="1"/>
        <v>0.58720323683900166</v>
      </c>
      <c r="AY13" s="100">
        <f t="shared" si="1"/>
        <v>0.58720323683900166</v>
      </c>
      <c r="AZ13" s="100">
        <f t="shared" si="1"/>
        <v>0.58720323683900166</v>
      </c>
      <c r="BA13" s="100">
        <f t="shared" si="1"/>
        <v>0.58720323683900166</v>
      </c>
      <c r="BB13" s="100">
        <f t="shared" si="1"/>
        <v>0.58720323683900166</v>
      </c>
      <c r="BC13" s="100">
        <f t="shared" si="1"/>
        <v>0.58720323683900166</v>
      </c>
      <c r="BD13" s="100">
        <f t="shared" si="1"/>
        <v>0.58720323683900166</v>
      </c>
      <c r="BE13" s="100">
        <f t="shared" si="1"/>
        <v>0.58720323683900166</v>
      </c>
      <c r="BF13" s="100">
        <f t="shared" si="1"/>
        <v>0.58720323683900166</v>
      </c>
      <c r="BG13" s="100">
        <f t="shared" si="1"/>
        <v>0.58720323683900166</v>
      </c>
      <c r="BH13" s="100">
        <f t="shared" si="1"/>
        <v>0.58720323683900166</v>
      </c>
      <c r="BI13" s="100">
        <f t="shared" si="1"/>
        <v>0.58720323683900166</v>
      </c>
      <c r="BJ13" s="100">
        <f t="shared" si="1"/>
        <v>0.58720323683900166</v>
      </c>
      <c r="BK13" s="100">
        <f t="shared" si="1"/>
        <v>0.58720323683900166</v>
      </c>
      <c r="BL13" s="100">
        <f t="shared" si="1"/>
        <v>0.58720323683900166</v>
      </c>
    </row>
    <row r="14" spans="1:64" ht="15.75">
      <c r="A14" s="28" t="s">
        <v>44</v>
      </c>
      <c r="B14" s="4" t="s">
        <v>51</v>
      </c>
      <c r="C14" s="21" t="s">
        <v>46</v>
      </c>
      <c r="D14" s="21">
        <v>287</v>
      </c>
      <c r="E14" s="32">
        <f t="shared" si="2"/>
        <v>7800</v>
      </c>
      <c r="F14" s="4" t="s">
        <v>52</v>
      </c>
      <c r="G14" s="4" t="s">
        <v>48</v>
      </c>
      <c r="H14" s="35">
        <v>2012</v>
      </c>
      <c r="I14" s="4" t="s">
        <v>49</v>
      </c>
      <c r="J14" s="1" t="s">
        <v>50</v>
      </c>
      <c r="K14" s="32">
        <v>2022</v>
      </c>
      <c r="L14" s="24">
        <v>2027</v>
      </c>
      <c r="M14" s="43">
        <f t="shared" si="3"/>
        <v>2.2385999999999999</v>
      </c>
      <c r="N14" s="44">
        <f t="shared" si="0"/>
        <v>2.2385999999999999</v>
      </c>
      <c r="O14" s="44">
        <f t="shared" si="0"/>
        <v>2.2385999999999999</v>
      </c>
      <c r="P14" s="44">
        <f t="shared" si="0"/>
        <v>2.2385999999999999</v>
      </c>
      <c r="Q14" s="44">
        <f t="shared" si="0"/>
        <v>2.2385999999999999</v>
      </c>
      <c r="R14" s="44">
        <f t="shared" si="0"/>
        <v>2.2385999999999999</v>
      </c>
      <c r="S14" s="44">
        <f t="shared" si="0"/>
        <v>2.2385999999999999</v>
      </c>
      <c r="T14" s="44">
        <f t="shared" si="0"/>
        <v>2.2385999999999999</v>
      </c>
      <c r="U14" s="44">
        <f t="shared" si="0"/>
        <v>2.2385999999999999</v>
      </c>
      <c r="V14" s="44">
        <f t="shared" si="0"/>
        <v>2.2385999999999999</v>
      </c>
      <c r="W14" s="44">
        <f t="shared" si="0"/>
        <v>2.2385999999999999</v>
      </c>
      <c r="X14" s="44">
        <f t="shared" si="0"/>
        <v>2.2385999999999999</v>
      </c>
      <c r="Y14" s="44">
        <f t="shared" si="0"/>
        <v>2.2385999999999999</v>
      </c>
      <c r="Z14" s="44">
        <f t="shared" si="0"/>
        <v>2.2385999999999999</v>
      </c>
      <c r="AA14" s="44">
        <f t="shared" si="0"/>
        <v>2.2385999999999999</v>
      </c>
      <c r="AB14" s="44">
        <f t="shared" si="0"/>
        <v>2.2385999999999999</v>
      </c>
      <c r="AC14" s="44">
        <f t="shared" si="0"/>
        <v>2.2385999999999999</v>
      </c>
      <c r="AD14" s="44">
        <f t="shared" si="0"/>
        <v>2.2385999999999999</v>
      </c>
      <c r="AE14" s="44">
        <f t="shared" si="0"/>
        <v>2.2385999999999999</v>
      </c>
      <c r="AF14" s="44">
        <f t="shared" si="0"/>
        <v>2.2385999999999999</v>
      </c>
      <c r="AG14" s="44">
        <f t="shared" si="0"/>
        <v>2.2385999999999999</v>
      </c>
      <c r="AH14" s="44">
        <f t="shared" si="0"/>
        <v>2.2385999999999999</v>
      </c>
      <c r="AI14" s="44">
        <f t="shared" si="0"/>
        <v>2.2385999999999999</v>
      </c>
      <c r="AJ14" s="44">
        <f t="shared" si="0"/>
        <v>2.2385999999999999</v>
      </c>
      <c r="AK14" s="44">
        <f t="shared" si="0"/>
        <v>2.2385999999999999</v>
      </c>
      <c r="AL14" s="45">
        <f t="shared" si="0"/>
        <v>2.2385999999999999</v>
      </c>
      <c r="AM14" s="46">
        <f t="shared" si="4"/>
        <v>2.2385999999999999</v>
      </c>
      <c r="AN14" s="97">
        <f>($D14*$E14)/1000000</f>
        <v>2.2385999999999999</v>
      </c>
      <c r="AO14" s="100">
        <f t="shared" si="5"/>
        <v>0.58720323683900166</v>
      </c>
      <c r="AP14" s="100">
        <f t="shared" si="5"/>
        <v>0.58720323683900166</v>
      </c>
      <c r="AQ14" s="100">
        <f t="shared" si="5"/>
        <v>0.58720323683900166</v>
      </c>
      <c r="AR14" s="100">
        <f t="shared" si="1"/>
        <v>0.58720323683900166</v>
      </c>
      <c r="AS14" s="100">
        <f t="shared" si="1"/>
        <v>0.58720323683900166</v>
      </c>
      <c r="AT14" s="100">
        <f t="shared" si="1"/>
        <v>0.58720323683900166</v>
      </c>
      <c r="AU14" s="100">
        <f t="shared" si="1"/>
        <v>0.58720323683900166</v>
      </c>
      <c r="AV14" s="100">
        <f t="shared" si="1"/>
        <v>0.58720323683900166</v>
      </c>
      <c r="AW14" s="100">
        <f t="shared" si="1"/>
        <v>0.58720323683900166</v>
      </c>
      <c r="AX14" s="100">
        <f t="shared" si="1"/>
        <v>0.58720323683900166</v>
      </c>
      <c r="AY14" s="100">
        <f t="shared" si="1"/>
        <v>0.58720323683900166</v>
      </c>
      <c r="AZ14" s="100">
        <f t="shared" si="1"/>
        <v>0.58720323683900166</v>
      </c>
      <c r="BA14" s="100">
        <f t="shared" si="1"/>
        <v>0.58720323683900166</v>
      </c>
      <c r="BB14" s="100">
        <f t="shared" si="1"/>
        <v>0.58720323683900166</v>
      </c>
      <c r="BC14" s="100">
        <f t="shared" si="1"/>
        <v>0.58720323683900166</v>
      </c>
      <c r="BD14" s="100">
        <f t="shared" si="1"/>
        <v>0.58720323683900166</v>
      </c>
      <c r="BE14" s="100">
        <f t="shared" si="1"/>
        <v>0.58720323683900166</v>
      </c>
      <c r="BF14" s="100">
        <f t="shared" si="1"/>
        <v>0.58720323683900166</v>
      </c>
      <c r="BG14" s="100">
        <f t="shared" si="1"/>
        <v>0.58720323683900166</v>
      </c>
      <c r="BH14" s="100">
        <f t="shared" si="1"/>
        <v>0.58720323683900166</v>
      </c>
      <c r="BI14" s="100">
        <f t="shared" si="1"/>
        <v>0.58720323683900166</v>
      </c>
      <c r="BJ14" s="100">
        <f t="shared" si="1"/>
        <v>0.58720323683900166</v>
      </c>
      <c r="BK14" s="100">
        <f t="shared" si="1"/>
        <v>0.58720323683900166</v>
      </c>
      <c r="BL14" s="100">
        <f t="shared" si="1"/>
        <v>0.58720323683900166</v>
      </c>
    </row>
    <row r="15" spans="1:64" ht="15.75">
      <c r="A15" s="28" t="s">
        <v>53</v>
      </c>
      <c r="B15" s="4" t="s">
        <v>54</v>
      </c>
      <c r="C15" s="21" t="s">
        <v>55</v>
      </c>
      <c r="D15" s="21">
        <v>386</v>
      </c>
      <c r="E15" s="32">
        <f t="shared" si="2"/>
        <v>7800</v>
      </c>
      <c r="F15" s="4" t="s">
        <v>56</v>
      </c>
      <c r="G15" s="4" t="s">
        <v>33</v>
      </c>
      <c r="H15" s="34">
        <v>2012</v>
      </c>
      <c r="I15" s="4" t="s">
        <v>49</v>
      </c>
      <c r="J15" s="1" t="s">
        <v>35</v>
      </c>
      <c r="K15" s="32">
        <v>2022</v>
      </c>
      <c r="L15" s="24">
        <v>2027</v>
      </c>
      <c r="M15" s="43">
        <f t="shared" si="3"/>
        <v>3.0108000000000001</v>
      </c>
      <c r="N15" s="44">
        <f t="shared" si="0"/>
        <v>3.0108000000000001</v>
      </c>
      <c r="O15" s="44">
        <f t="shared" si="0"/>
        <v>3.0108000000000001</v>
      </c>
      <c r="P15" s="44">
        <f t="shared" si="0"/>
        <v>3.0108000000000001</v>
      </c>
      <c r="Q15" s="44">
        <f t="shared" si="0"/>
        <v>3.0108000000000001</v>
      </c>
      <c r="R15" s="44">
        <f t="shared" si="0"/>
        <v>3.0108000000000001</v>
      </c>
      <c r="S15" s="44">
        <f t="shared" si="0"/>
        <v>3.0108000000000001</v>
      </c>
      <c r="T15" s="44">
        <f t="shared" si="0"/>
        <v>3.0108000000000001</v>
      </c>
      <c r="U15" s="44">
        <f t="shared" si="0"/>
        <v>3.0108000000000001</v>
      </c>
      <c r="V15" s="44">
        <f t="shared" si="0"/>
        <v>3.0108000000000001</v>
      </c>
      <c r="W15" s="44">
        <f t="shared" si="0"/>
        <v>3.0108000000000001</v>
      </c>
      <c r="X15" s="44">
        <f t="shared" si="0"/>
        <v>3.0108000000000001</v>
      </c>
      <c r="Y15" s="44">
        <f t="shared" si="0"/>
        <v>3.0108000000000001</v>
      </c>
      <c r="Z15" s="44">
        <f t="shared" si="0"/>
        <v>3.0108000000000001</v>
      </c>
      <c r="AA15" s="44">
        <f t="shared" si="0"/>
        <v>3.0108000000000001</v>
      </c>
      <c r="AB15" s="44">
        <f t="shared" si="0"/>
        <v>3.0108000000000001</v>
      </c>
      <c r="AC15" s="44">
        <f t="shared" si="0"/>
        <v>3.0108000000000001</v>
      </c>
      <c r="AD15" s="44">
        <f t="shared" si="0"/>
        <v>3.0108000000000001</v>
      </c>
      <c r="AE15" s="44">
        <f t="shared" si="0"/>
        <v>3.0108000000000001</v>
      </c>
      <c r="AF15" s="44">
        <f t="shared" si="0"/>
        <v>3.0108000000000001</v>
      </c>
      <c r="AG15" s="44">
        <f t="shared" si="0"/>
        <v>3.0108000000000001</v>
      </c>
      <c r="AH15" s="44">
        <f t="shared" si="0"/>
        <v>3.0108000000000001</v>
      </c>
      <c r="AI15" s="44">
        <f t="shared" si="0"/>
        <v>3.0108000000000001</v>
      </c>
      <c r="AJ15" s="44">
        <f t="shared" si="0"/>
        <v>3.0108000000000001</v>
      </c>
      <c r="AK15" s="44">
        <f t="shared" si="0"/>
        <v>3.0108000000000001</v>
      </c>
      <c r="AL15" s="45">
        <f t="shared" si="0"/>
        <v>3.0108000000000001</v>
      </c>
      <c r="AM15" s="46">
        <f t="shared" si="4"/>
        <v>3.0108000000000001</v>
      </c>
      <c r="AN15" s="97">
        <f t="shared" si="4"/>
        <v>3.0108000000000001</v>
      </c>
      <c r="AO15" s="100">
        <f t="shared" si="5"/>
        <v>0.58720323683900166</v>
      </c>
      <c r="AP15" s="100">
        <f t="shared" si="5"/>
        <v>0.58720323683900166</v>
      </c>
      <c r="AQ15" s="100">
        <f t="shared" si="5"/>
        <v>0.58720323683900166</v>
      </c>
      <c r="AR15" s="100">
        <f t="shared" si="1"/>
        <v>0.58720323683900166</v>
      </c>
      <c r="AS15" s="100">
        <f t="shared" si="1"/>
        <v>0.58720323683900166</v>
      </c>
      <c r="AT15" s="100">
        <f t="shared" si="1"/>
        <v>0.58720323683900166</v>
      </c>
      <c r="AU15" s="100">
        <f t="shared" si="1"/>
        <v>0.58720323683900166</v>
      </c>
      <c r="AV15" s="100">
        <f t="shared" si="1"/>
        <v>0.58720323683900166</v>
      </c>
      <c r="AW15" s="100">
        <f t="shared" si="1"/>
        <v>0.58720323683900166</v>
      </c>
      <c r="AX15" s="100">
        <f t="shared" si="1"/>
        <v>0.58720323683900166</v>
      </c>
      <c r="AY15" s="100">
        <f t="shared" si="1"/>
        <v>0.58720323683900166</v>
      </c>
      <c r="AZ15" s="100">
        <f t="shared" si="1"/>
        <v>0.58720323683900166</v>
      </c>
      <c r="BA15" s="100">
        <f t="shared" si="1"/>
        <v>0.58720323683900166</v>
      </c>
      <c r="BB15" s="100">
        <f t="shared" si="1"/>
        <v>0.58720323683900166</v>
      </c>
      <c r="BC15" s="100">
        <f t="shared" si="1"/>
        <v>0.58720323683900166</v>
      </c>
      <c r="BD15" s="100">
        <f t="shared" si="1"/>
        <v>0.58720323683900166</v>
      </c>
      <c r="BE15" s="100">
        <f t="shared" si="1"/>
        <v>0.58720323683900166</v>
      </c>
      <c r="BF15" s="100">
        <f t="shared" si="1"/>
        <v>0.58720323683900166</v>
      </c>
      <c r="BG15" s="100">
        <f t="shared" si="1"/>
        <v>0.58720323683900166</v>
      </c>
      <c r="BH15" s="100">
        <f t="shared" si="1"/>
        <v>0.58720323683900166</v>
      </c>
      <c r="BI15" s="100">
        <f t="shared" si="1"/>
        <v>0.58720323683900166</v>
      </c>
      <c r="BJ15" s="100">
        <f t="shared" si="1"/>
        <v>0.58720323683900166</v>
      </c>
      <c r="BK15" s="100">
        <f t="shared" si="1"/>
        <v>0.58720323683900166</v>
      </c>
      <c r="BL15" s="100">
        <f t="shared" si="1"/>
        <v>0.58720323683900166</v>
      </c>
    </row>
    <row r="16" spans="1:64" ht="15.75">
      <c r="A16" s="28" t="s">
        <v>41</v>
      </c>
      <c r="B16" s="4" t="s">
        <v>57</v>
      </c>
      <c r="C16" s="21" t="s">
        <v>58</v>
      </c>
      <c r="D16" s="21">
        <v>386</v>
      </c>
      <c r="E16" s="32">
        <f t="shared" si="2"/>
        <v>7800</v>
      </c>
      <c r="F16" s="4" t="s">
        <v>32</v>
      </c>
      <c r="G16" s="4" t="s">
        <v>33</v>
      </c>
      <c r="H16" s="34">
        <v>2008</v>
      </c>
      <c r="I16" s="4" t="s">
        <v>34</v>
      </c>
      <c r="J16" s="1" t="s">
        <v>35</v>
      </c>
      <c r="K16" s="32">
        <v>2023</v>
      </c>
      <c r="L16" s="24">
        <v>2027</v>
      </c>
      <c r="M16" s="43">
        <f t="shared" si="3"/>
        <v>3.0108000000000001</v>
      </c>
      <c r="N16" s="44">
        <f t="shared" si="0"/>
        <v>3.0108000000000001</v>
      </c>
      <c r="O16" s="44">
        <f t="shared" si="0"/>
        <v>3.0108000000000001</v>
      </c>
      <c r="P16" s="44">
        <f t="shared" si="0"/>
        <v>3.0108000000000001</v>
      </c>
      <c r="Q16" s="44">
        <f t="shared" si="0"/>
        <v>3.0108000000000001</v>
      </c>
      <c r="R16" s="44">
        <f t="shared" si="0"/>
        <v>3.0108000000000001</v>
      </c>
      <c r="S16" s="44">
        <f t="shared" si="0"/>
        <v>3.0108000000000001</v>
      </c>
      <c r="T16" s="44">
        <f t="shared" si="0"/>
        <v>3.0108000000000001</v>
      </c>
      <c r="U16" s="44">
        <f t="shared" si="0"/>
        <v>3.0108000000000001</v>
      </c>
      <c r="V16" s="44">
        <f t="shared" si="0"/>
        <v>3.0108000000000001</v>
      </c>
      <c r="W16" s="44">
        <f t="shared" si="0"/>
        <v>3.0108000000000001</v>
      </c>
      <c r="X16" s="44">
        <f t="shared" si="0"/>
        <v>3.0108000000000001</v>
      </c>
      <c r="Y16" s="44">
        <f t="shared" si="0"/>
        <v>3.0108000000000001</v>
      </c>
      <c r="Z16" s="44">
        <f t="shared" si="0"/>
        <v>3.0108000000000001</v>
      </c>
      <c r="AA16" s="44">
        <f t="shared" si="0"/>
        <v>3.0108000000000001</v>
      </c>
      <c r="AB16" s="44">
        <f t="shared" si="0"/>
        <v>3.0108000000000001</v>
      </c>
      <c r="AC16" s="44">
        <f t="shared" si="0"/>
        <v>3.0108000000000001</v>
      </c>
      <c r="AD16" s="44">
        <f t="shared" si="0"/>
        <v>3.0108000000000001</v>
      </c>
      <c r="AE16" s="44">
        <f t="shared" si="0"/>
        <v>3.0108000000000001</v>
      </c>
      <c r="AF16" s="44">
        <f t="shared" si="0"/>
        <v>3.0108000000000001</v>
      </c>
      <c r="AG16" s="44">
        <f t="shared" si="0"/>
        <v>3.0108000000000001</v>
      </c>
      <c r="AH16" s="44">
        <f t="shared" si="0"/>
        <v>3.0108000000000001</v>
      </c>
      <c r="AI16" s="44">
        <f t="shared" si="0"/>
        <v>3.0108000000000001</v>
      </c>
      <c r="AJ16" s="44">
        <f t="shared" si="0"/>
        <v>3.0108000000000001</v>
      </c>
      <c r="AK16" s="44">
        <f t="shared" si="0"/>
        <v>3.0108000000000001</v>
      </c>
      <c r="AL16" s="45">
        <f t="shared" si="0"/>
        <v>3.0108000000000001</v>
      </c>
      <c r="AM16" s="46">
        <f t="shared" si="4"/>
        <v>3.0108000000000001</v>
      </c>
      <c r="AN16" s="97">
        <f t="shared" si="4"/>
        <v>3.0108000000000001</v>
      </c>
      <c r="AO16" s="100">
        <f t="shared" si="5"/>
        <v>0.58720323683900166</v>
      </c>
      <c r="AP16" s="100">
        <f t="shared" si="5"/>
        <v>0.58720323683900166</v>
      </c>
      <c r="AQ16" s="100">
        <f t="shared" si="5"/>
        <v>0.58720323683900166</v>
      </c>
      <c r="AR16" s="100">
        <f t="shared" si="1"/>
        <v>0.58720323683900166</v>
      </c>
      <c r="AS16" s="100">
        <f t="shared" si="1"/>
        <v>0.58720323683900166</v>
      </c>
      <c r="AT16" s="100">
        <f t="shared" si="1"/>
        <v>0.58720323683900166</v>
      </c>
      <c r="AU16" s="100">
        <f t="shared" si="1"/>
        <v>0.58720323683900166</v>
      </c>
      <c r="AV16" s="100">
        <f t="shared" si="1"/>
        <v>0.58720323683900166</v>
      </c>
      <c r="AW16" s="100">
        <f t="shared" si="1"/>
        <v>0.58720323683900166</v>
      </c>
      <c r="AX16" s="100">
        <f t="shared" si="1"/>
        <v>0.58720323683900166</v>
      </c>
      <c r="AY16" s="100">
        <f t="shared" si="1"/>
        <v>0.58720323683900166</v>
      </c>
      <c r="AZ16" s="100">
        <f t="shared" si="1"/>
        <v>0.58720323683900166</v>
      </c>
      <c r="BA16" s="100">
        <f t="shared" si="1"/>
        <v>0.58720323683900166</v>
      </c>
      <c r="BB16" s="100">
        <f t="shared" si="1"/>
        <v>0.58720323683900166</v>
      </c>
      <c r="BC16" s="100">
        <f t="shared" si="1"/>
        <v>0.58720323683900166</v>
      </c>
      <c r="BD16" s="100">
        <f t="shared" si="1"/>
        <v>0.58720323683900166</v>
      </c>
      <c r="BE16" s="100">
        <f t="shared" si="1"/>
        <v>0.58720323683900166</v>
      </c>
      <c r="BF16" s="100">
        <f t="shared" si="1"/>
        <v>0.58720323683900166</v>
      </c>
      <c r="BG16" s="100">
        <f t="shared" si="1"/>
        <v>0.58720323683900166</v>
      </c>
      <c r="BH16" s="100">
        <f t="shared" si="1"/>
        <v>0.58720323683900166</v>
      </c>
      <c r="BI16" s="100">
        <f t="shared" si="1"/>
        <v>0.58720323683900166</v>
      </c>
      <c r="BJ16" s="100">
        <f t="shared" si="1"/>
        <v>0.58720323683900166</v>
      </c>
      <c r="BK16" s="100">
        <f t="shared" si="1"/>
        <v>0.58720323683900166</v>
      </c>
      <c r="BL16" s="100">
        <f t="shared" si="1"/>
        <v>0.58720323683900166</v>
      </c>
    </row>
    <row r="17" spans="1:64" ht="15.75">
      <c r="A17" s="28" t="s">
        <v>44</v>
      </c>
      <c r="B17" s="4" t="s">
        <v>59</v>
      </c>
      <c r="C17" s="21" t="s">
        <v>60</v>
      </c>
      <c r="D17" s="21">
        <v>279</v>
      </c>
      <c r="E17" s="32">
        <f t="shared" si="2"/>
        <v>7800</v>
      </c>
      <c r="F17" s="4" t="s">
        <v>61</v>
      </c>
      <c r="G17" s="4" t="s">
        <v>48</v>
      </c>
      <c r="H17" s="35" t="s">
        <v>62</v>
      </c>
      <c r="I17" s="4" t="s">
        <v>34</v>
      </c>
      <c r="J17" s="1" t="s">
        <v>50</v>
      </c>
      <c r="K17" s="32">
        <v>2023</v>
      </c>
      <c r="L17" s="24">
        <v>2028</v>
      </c>
      <c r="M17" s="43">
        <f t="shared" si="3"/>
        <v>2.1762000000000001</v>
      </c>
      <c r="N17" s="44">
        <f t="shared" si="0"/>
        <v>2.1762000000000001</v>
      </c>
      <c r="O17" s="44">
        <f t="shared" si="0"/>
        <v>2.1762000000000001</v>
      </c>
      <c r="P17" s="44">
        <f t="shared" si="0"/>
        <v>2.1762000000000001</v>
      </c>
      <c r="Q17" s="44">
        <f t="shared" si="0"/>
        <v>2.1762000000000001</v>
      </c>
      <c r="R17" s="44">
        <f t="shared" si="0"/>
        <v>2.1762000000000001</v>
      </c>
      <c r="S17" s="44">
        <f t="shared" si="0"/>
        <v>2.1762000000000001</v>
      </c>
      <c r="T17" s="44">
        <f t="shared" si="0"/>
        <v>2.1762000000000001</v>
      </c>
      <c r="U17" s="44">
        <f t="shared" si="0"/>
        <v>2.1762000000000001</v>
      </c>
      <c r="V17" s="44">
        <f t="shared" si="0"/>
        <v>2.1762000000000001</v>
      </c>
      <c r="W17" s="44">
        <f t="shared" si="0"/>
        <v>2.1762000000000001</v>
      </c>
      <c r="X17" s="44">
        <f t="shared" si="0"/>
        <v>2.1762000000000001</v>
      </c>
      <c r="Y17" s="44">
        <f t="shared" si="0"/>
        <v>2.1762000000000001</v>
      </c>
      <c r="Z17" s="44">
        <f t="shared" si="0"/>
        <v>2.1762000000000001</v>
      </c>
      <c r="AA17" s="44">
        <f t="shared" si="0"/>
        <v>2.1762000000000001</v>
      </c>
      <c r="AB17" s="44">
        <f t="shared" si="0"/>
        <v>2.1762000000000001</v>
      </c>
      <c r="AC17" s="44">
        <f t="shared" si="0"/>
        <v>2.1762000000000001</v>
      </c>
      <c r="AD17" s="44">
        <f t="shared" si="0"/>
        <v>2.1762000000000001</v>
      </c>
      <c r="AE17" s="44">
        <f t="shared" si="0"/>
        <v>2.1762000000000001</v>
      </c>
      <c r="AF17" s="44">
        <f t="shared" si="0"/>
        <v>2.1762000000000001</v>
      </c>
      <c r="AG17" s="44">
        <f t="shared" si="0"/>
        <v>2.1762000000000001</v>
      </c>
      <c r="AH17" s="44">
        <f t="shared" si="0"/>
        <v>2.1762000000000001</v>
      </c>
      <c r="AI17" s="44">
        <f t="shared" si="0"/>
        <v>2.1762000000000001</v>
      </c>
      <c r="AJ17" s="44">
        <f t="shared" si="0"/>
        <v>2.1762000000000001</v>
      </c>
      <c r="AK17" s="44">
        <f t="shared" si="0"/>
        <v>2.1762000000000001</v>
      </c>
      <c r="AL17" s="45">
        <f t="shared" si="0"/>
        <v>2.1762000000000001</v>
      </c>
      <c r="AM17" s="46">
        <f t="shared" si="4"/>
        <v>2.1762000000000001</v>
      </c>
      <c r="AN17" s="44">
        <f t="shared" si="4"/>
        <v>2.1762000000000001</v>
      </c>
      <c r="AO17" s="99">
        <f t="shared" si="4"/>
        <v>2.1762000000000001</v>
      </c>
      <c r="AP17" s="100">
        <f t="shared" si="5"/>
        <v>0.58720323683900166</v>
      </c>
      <c r="AQ17" s="100">
        <f t="shared" si="5"/>
        <v>0.58720323683900166</v>
      </c>
      <c r="AR17" s="100">
        <f t="shared" si="1"/>
        <v>0.58720323683900166</v>
      </c>
      <c r="AS17" s="100">
        <f t="shared" si="1"/>
        <v>0.58720323683900166</v>
      </c>
      <c r="AT17" s="100">
        <f t="shared" si="1"/>
        <v>0.58720323683900166</v>
      </c>
      <c r="AU17" s="100">
        <f t="shared" si="1"/>
        <v>0.58720323683900166</v>
      </c>
      <c r="AV17" s="100">
        <f t="shared" si="1"/>
        <v>0.58720323683900166</v>
      </c>
      <c r="AW17" s="100">
        <f t="shared" si="1"/>
        <v>0.58720323683900166</v>
      </c>
      <c r="AX17" s="100">
        <f t="shared" si="1"/>
        <v>0.58720323683900166</v>
      </c>
      <c r="AY17" s="100">
        <f t="shared" si="1"/>
        <v>0.58720323683900166</v>
      </c>
      <c r="AZ17" s="100">
        <f t="shared" si="1"/>
        <v>0.58720323683900166</v>
      </c>
      <c r="BA17" s="100">
        <f t="shared" si="1"/>
        <v>0.58720323683900166</v>
      </c>
      <c r="BB17" s="100">
        <f t="shared" si="1"/>
        <v>0.58720323683900166</v>
      </c>
      <c r="BC17" s="100">
        <f t="shared" si="1"/>
        <v>0.58720323683900166</v>
      </c>
      <c r="BD17" s="100">
        <f t="shared" si="1"/>
        <v>0.58720323683900166</v>
      </c>
      <c r="BE17" s="100">
        <f t="shared" si="1"/>
        <v>0.58720323683900166</v>
      </c>
      <c r="BF17" s="100">
        <f t="shared" si="1"/>
        <v>0.58720323683900166</v>
      </c>
      <c r="BG17" s="100">
        <f t="shared" si="1"/>
        <v>0.58720323683900166</v>
      </c>
      <c r="BH17" s="100">
        <f t="shared" si="1"/>
        <v>0.58720323683900166</v>
      </c>
      <c r="BI17" s="100">
        <f t="shared" si="1"/>
        <v>0.58720323683900166</v>
      </c>
      <c r="BJ17" s="100">
        <f t="shared" si="1"/>
        <v>0.58720323683900166</v>
      </c>
      <c r="BK17" s="100">
        <f t="shared" si="1"/>
        <v>0.58720323683900166</v>
      </c>
      <c r="BL17" s="100">
        <f t="shared" si="1"/>
        <v>0.58720323683900166</v>
      </c>
    </row>
    <row r="18" spans="1:64" ht="15.75">
      <c r="A18" s="28" t="s">
        <v>63</v>
      </c>
      <c r="B18" s="4" t="s">
        <v>64</v>
      </c>
      <c r="C18" s="21" t="s">
        <v>65</v>
      </c>
      <c r="D18" s="21">
        <v>386</v>
      </c>
      <c r="E18" s="32">
        <f t="shared" si="2"/>
        <v>7800</v>
      </c>
      <c r="F18" s="4" t="s">
        <v>66</v>
      </c>
      <c r="G18" s="4" t="s">
        <v>48</v>
      </c>
      <c r="H18" s="35" t="s">
        <v>62</v>
      </c>
      <c r="I18" s="4" t="s">
        <v>49</v>
      </c>
      <c r="J18" s="1" t="s">
        <v>35</v>
      </c>
      <c r="K18" s="32">
        <v>2023</v>
      </c>
      <c r="L18" s="24">
        <v>2028</v>
      </c>
      <c r="M18" s="43">
        <f t="shared" si="3"/>
        <v>3.0108000000000001</v>
      </c>
      <c r="N18" s="44">
        <f t="shared" si="0"/>
        <v>3.0108000000000001</v>
      </c>
      <c r="O18" s="44">
        <f t="shared" si="0"/>
        <v>3.0108000000000001</v>
      </c>
      <c r="P18" s="44">
        <f t="shared" si="0"/>
        <v>3.0108000000000001</v>
      </c>
      <c r="Q18" s="44">
        <f t="shared" si="0"/>
        <v>3.0108000000000001</v>
      </c>
      <c r="R18" s="44">
        <f t="shared" si="0"/>
        <v>3.0108000000000001</v>
      </c>
      <c r="S18" s="44">
        <f t="shared" si="0"/>
        <v>3.0108000000000001</v>
      </c>
      <c r="T18" s="44">
        <f t="shared" si="0"/>
        <v>3.0108000000000001</v>
      </c>
      <c r="U18" s="44">
        <f t="shared" si="0"/>
        <v>3.0108000000000001</v>
      </c>
      <c r="V18" s="44">
        <f t="shared" si="0"/>
        <v>3.0108000000000001</v>
      </c>
      <c r="W18" s="44">
        <f t="shared" si="0"/>
        <v>3.0108000000000001</v>
      </c>
      <c r="X18" s="44">
        <f t="shared" si="0"/>
        <v>3.0108000000000001</v>
      </c>
      <c r="Y18" s="44">
        <f t="shared" si="0"/>
        <v>3.0108000000000001</v>
      </c>
      <c r="Z18" s="44">
        <f t="shared" si="0"/>
        <v>3.0108000000000001</v>
      </c>
      <c r="AA18" s="44">
        <f t="shared" si="0"/>
        <v>3.0108000000000001</v>
      </c>
      <c r="AB18" s="44">
        <f t="shared" si="0"/>
        <v>3.0108000000000001</v>
      </c>
      <c r="AC18" s="44">
        <f t="shared" si="0"/>
        <v>3.0108000000000001</v>
      </c>
      <c r="AD18" s="44">
        <f t="shared" si="0"/>
        <v>3.0108000000000001</v>
      </c>
      <c r="AE18" s="44">
        <f t="shared" si="0"/>
        <v>3.0108000000000001</v>
      </c>
      <c r="AF18" s="44">
        <f t="shared" si="0"/>
        <v>3.0108000000000001</v>
      </c>
      <c r="AG18" s="44">
        <f t="shared" si="0"/>
        <v>3.0108000000000001</v>
      </c>
      <c r="AH18" s="44">
        <f t="shared" si="0"/>
        <v>3.0108000000000001</v>
      </c>
      <c r="AI18" s="44">
        <f t="shared" si="0"/>
        <v>3.0108000000000001</v>
      </c>
      <c r="AJ18" s="44">
        <f t="shared" si="0"/>
        <v>3.0108000000000001</v>
      </c>
      <c r="AK18" s="44">
        <f t="shared" si="0"/>
        <v>3.0108000000000001</v>
      </c>
      <c r="AL18" s="45">
        <f t="shared" si="0"/>
        <v>3.0108000000000001</v>
      </c>
      <c r="AM18" s="46">
        <f t="shared" si="4"/>
        <v>3.0108000000000001</v>
      </c>
      <c r="AN18" s="44">
        <f t="shared" si="4"/>
        <v>3.0108000000000001</v>
      </c>
      <c r="AO18" s="44">
        <f t="shared" si="4"/>
        <v>3.0108000000000001</v>
      </c>
      <c r="AP18" s="100">
        <f t="shared" si="5"/>
        <v>0.58720323683900166</v>
      </c>
      <c r="AQ18" s="100">
        <f t="shared" si="5"/>
        <v>0.58720323683900166</v>
      </c>
      <c r="AR18" s="100">
        <f t="shared" si="1"/>
        <v>0.58720323683900166</v>
      </c>
      <c r="AS18" s="100">
        <f t="shared" si="1"/>
        <v>0.58720323683900166</v>
      </c>
      <c r="AT18" s="100">
        <f t="shared" si="1"/>
        <v>0.58720323683900166</v>
      </c>
      <c r="AU18" s="100">
        <f t="shared" si="1"/>
        <v>0.58720323683900166</v>
      </c>
      <c r="AV18" s="100">
        <f t="shared" si="1"/>
        <v>0.58720323683900166</v>
      </c>
      <c r="AW18" s="100">
        <f t="shared" si="1"/>
        <v>0.58720323683900166</v>
      </c>
      <c r="AX18" s="100">
        <f t="shared" si="1"/>
        <v>0.58720323683900166</v>
      </c>
      <c r="AY18" s="100">
        <f t="shared" si="1"/>
        <v>0.58720323683900166</v>
      </c>
      <c r="AZ18" s="100">
        <f t="shared" si="1"/>
        <v>0.58720323683900166</v>
      </c>
      <c r="BA18" s="100">
        <f t="shared" si="1"/>
        <v>0.58720323683900166</v>
      </c>
      <c r="BB18" s="100">
        <f t="shared" si="1"/>
        <v>0.58720323683900166</v>
      </c>
      <c r="BC18" s="100">
        <f t="shared" si="1"/>
        <v>0.58720323683900166</v>
      </c>
      <c r="BD18" s="100">
        <f t="shared" si="1"/>
        <v>0.58720323683900166</v>
      </c>
      <c r="BE18" s="100">
        <f t="shared" si="1"/>
        <v>0.58720323683900166</v>
      </c>
      <c r="BF18" s="100">
        <f t="shared" si="1"/>
        <v>0.58720323683900166</v>
      </c>
      <c r="BG18" s="100">
        <f t="shared" si="1"/>
        <v>0.58720323683900166</v>
      </c>
      <c r="BH18" s="100">
        <f t="shared" si="1"/>
        <v>0.58720323683900166</v>
      </c>
      <c r="BI18" s="100">
        <f t="shared" si="1"/>
        <v>0.58720323683900166</v>
      </c>
      <c r="BJ18" s="100">
        <f t="shared" si="1"/>
        <v>0.58720323683900166</v>
      </c>
      <c r="BK18" s="100">
        <f t="shared" si="1"/>
        <v>0.58720323683900166</v>
      </c>
      <c r="BL18" s="100">
        <f t="shared" si="1"/>
        <v>0.58720323683900166</v>
      </c>
    </row>
    <row r="19" spans="1:64" ht="15.75">
      <c r="A19" s="28" t="s">
        <v>63</v>
      </c>
      <c r="B19" s="4" t="s">
        <v>67</v>
      </c>
      <c r="C19" s="21" t="s">
        <v>65</v>
      </c>
      <c r="D19" s="21">
        <v>386</v>
      </c>
      <c r="E19" s="32">
        <f t="shared" si="2"/>
        <v>7800</v>
      </c>
      <c r="F19" s="4" t="s">
        <v>68</v>
      </c>
      <c r="G19" s="4" t="s">
        <v>48</v>
      </c>
      <c r="H19" s="35" t="s">
        <v>62</v>
      </c>
      <c r="I19" s="4" t="s">
        <v>49</v>
      </c>
      <c r="J19" s="1" t="s">
        <v>35</v>
      </c>
      <c r="K19" s="32">
        <v>2023</v>
      </c>
      <c r="L19" s="24">
        <v>2028</v>
      </c>
      <c r="M19" s="43">
        <f t="shared" si="3"/>
        <v>3.0108000000000001</v>
      </c>
      <c r="N19" s="44">
        <f t="shared" si="0"/>
        <v>3.0108000000000001</v>
      </c>
      <c r="O19" s="44">
        <f t="shared" si="0"/>
        <v>3.0108000000000001</v>
      </c>
      <c r="P19" s="44">
        <f t="shared" si="0"/>
        <v>3.0108000000000001</v>
      </c>
      <c r="Q19" s="44">
        <f t="shared" si="0"/>
        <v>3.0108000000000001</v>
      </c>
      <c r="R19" s="44">
        <f t="shared" si="0"/>
        <v>3.0108000000000001</v>
      </c>
      <c r="S19" s="44">
        <f t="shared" si="0"/>
        <v>3.0108000000000001</v>
      </c>
      <c r="T19" s="44">
        <f t="shared" si="0"/>
        <v>3.0108000000000001</v>
      </c>
      <c r="U19" s="44">
        <f t="shared" si="0"/>
        <v>3.0108000000000001</v>
      </c>
      <c r="V19" s="44">
        <f t="shared" si="0"/>
        <v>3.0108000000000001</v>
      </c>
      <c r="W19" s="44">
        <f t="shared" si="0"/>
        <v>3.0108000000000001</v>
      </c>
      <c r="X19" s="44">
        <f t="shared" si="0"/>
        <v>3.0108000000000001</v>
      </c>
      <c r="Y19" s="44">
        <f t="shared" si="0"/>
        <v>3.0108000000000001</v>
      </c>
      <c r="Z19" s="44">
        <f t="shared" si="0"/>
        <v>3.0108000000000001</v>
      </c>
      <c r="AA19" s="44">
        <f t="shared" si="0"/>
        <v>3.0108000000000001</v>
      </c>
      <c r="AB19" s="44">
        <f t="shared" si="0"/>
        <v>3.0108000000000001</v>
      </c>
      <c r="AC19" s="44">
        <f t="shared" si="0"/>
        <v>3.0108000000000001</v>
      </c>
      <c r="AD19" s="44">
        <f t="shared" si="0"/>
        <v>3.0108000000000001</v>
      </c>
      <c r="AE19" s="44">
        <f t="shared" si="0"/>
        <v>3.0108000000000001</v>
      </c>
      <c r="AF19" s="44">
        <f t="shared" si="0"/>
        <v>3.0108000000000001</v>
      </c>
      <c r="AG19" s="44">
        <f t="shared" si="0"/>
        <v>3.0108000000000001</v>
      </c>
      <c r="AH19" s="44">
        <f t="shared" si="0"/>
        <v>3.0108000000000001</v>
      </c>
      <c r="AI19" s="44">
        <f t="shared" si="0"/>
        <v>3.0108000000000001</v>
      </c>
      <c r="AJ19" s="44">
        <f t="shared" si="0"/>
        <v>3.0108000000000001</v>
      </c>
      <c r="AK19" s="44">
        <f t="shared" si="0"/>
        <v>3.0108000000000001</v>
      </c>
      <c r="AL19" s="45">
        <f t="shared" si="0"/>
        <v>3.0108000000000001</v>
      </c>
      <c r="AM19" s="46">
        <f t="shared" si="4"/>
        <v>3.0108000000000001</v>
      </c>
      <c r="AN19" s="44">
        <f t="shared" si="4"/>
        <v>3.0108000000000001</v>
      </c>
      <c r="AO19" s="44">
        <f t="shared" si="4"/>
        <v>3.0108000000000001</v>
      </c>
      <c r="AP19" s="100">
        <f t="shared" si="5"/>
        <v>0.58720323683900166</v>
      </c>
      <c r="AQ19" s="100">
        <f t="shared" si="5"/>
        <v>0.58720323683900166</v>
      </c>
      <c r="AR19" s="100">
        <f t="shared" si="1"/>
        <v>0.58720323683900166</v>
      </c>
      <c r="AS19" s="100">
        <f t="shared" si="1"/>
        <v>0.58720323683900166</v>
      </c>
      <c r="AT19" s="100">
        <f t="shared" si="1"/>
        <v>0.58720323683900166</v>
      </c>
      <c r="AU19" s="100">
        <f t="shared" si="1"/>
        <v>0.58720323683900166</v>
      </c>
      <c r="AV19" s="100">
        <f>(($E19/$D$5)/1000)*$D$7</f>
        <v>0.58720323683900166</v>
      </c>
      <c r="AW19" s="100">
        <f t="shared" si="1"/>
        <v>0.58720323683900166</v>
      </c>
      <c r="AX19" s="100">
        <f t="shared" si="1"/>
        <v>0.58720323683900166</v>
      </c>
      <c r="AY19" s="100">
        <f t="shared" si="1"/>
        <v>0.58720323683900166</v>
      </c>
      <c r="AZ19" s="100">
        <f t="shared" si="1"/>
        <v>0.58720323683900166</v>
      </c>
      <c r="BA19" s="100">
        <f t="shared" si="1"/>
        <v>0.58720323683900166</v>
      </c>
      <c r="BB19" s="100">
        <f t="shared" si="1"/>
        <v>0.58720323683900166</v>
      </c>
      <c r="BC19" s="100">
        <f t="shared" si="1"/>
        <v>0.58720323683900166</v>
      </c>
      <c r="BD19" s="100">
        <f t="shared" si="1"/>
        <v>0.58720323683900166</v>
      </c>
      <c r="BE19" s="100">
        <f t="shared" si="1"/>
        <v>0.58720323683900166</v>
      </c>
      <c r="BF19" s="100">
        <f t="shared" si="1"/>
        <v>0.58720323683900166</v>
      </c>
      <c r="BG19" s="100">
        <f t="shared" si="1"/>
        <v>0.58720323683900166</v>
      </c>
      <c r="BH19" s="100">
        <f t="shared" si="1"/>
        <v>0.58720323683900166</v>
      </c>
      <c r="BI19" s="100">
        <f t="shared" si="1"/>
        <v>0.58720323683900166</v>
      </c>
      <c r="BJ19" s="100">
        <f t="shared" si="1"/>
        <v>0.58720323683900166</v>
      </c>
      <c r="BK19" s="100">
        <f t="shared" si="1"/>
        <v>0.58720323683900166</v>
      </c>
      <c r="BL19" s="100">
        <f t="shared" si="1"/>
        <v>0.58720323683900166</v>
      </c>
    </row>
    <row r="20" spans="1:64" ht="15.75">
      <c r="A20" s="28" t="s">
        <v>69</v>
      </c>
      <c r="B20" s="4" t="s">
        <v>70</v>
      </c>
      <c r="C20" s="21" t="s">
        <v>71</v>
      </c>
      <c r="D20" s="21">
        <v>363</v>
      </c>
      <c r="E20" s="32">
        <f t="shared" si="2"/>
        <v>7800</v>
      </c>
      <c r="F20" s="4" t="s">
        <v>72</v>
      </c>
      <c r="G20" s="4" t="s">
        <v>73</v>
      </c>
      <c r="H20" s="35">
        <v>2014</v>
      </c>
      <c r="I20" s="4" t="s">
        <v>49</v>
      </c>
      <c r="J20" s="1" t="s">
        <v>50</v>
      </c>
      <c r="K20" s="32">
        <v>2024</v>
      </c>
      <c r="L20" s="24">
        <v>2028</v>
      </c>
      <c r="M20" s="43">
        <f t="shared" si="3"/>
        <v>2.8313999999999999</v>
      </c>
      <c r="N20" s="44">
        <f t="shared" si="0"/>
        <v>2.8313999999999999</v>
      </c>
      <c r="O20" s="44">
        <f t="shared" si="0"/>
        <v>2.8313999999999999</v>
      </c>
      <c r="P20" s="44">
        <f t="shared" si="0"/>
        <v>2.8313999999999999</v>
      </c>
      <c r="Q20" s="44">
        <f t="shared" si="0"/>
        <v>2.8313999999999999</v>
      </c>
      <c r="R20" s="44">
        <f t="shared" si="0"/>
        <v>2.8313999999999999</v>
      </c>
      <c r="S20" s="44">
        <f t="shared" ref="S20:AH33" si="6">($D20*$E20)/1000000</f>
        <v>2.8313999999999999</v>
      </c>
      <c r="T20" s="44">
        <f t="shared" si="6"/>
        <v>2.8313999999999999</v>
      </c>
      <c r="U20" s="44">
        <f t="shared" si="6"/>
        <v>2.8313999999999999</v>
      </c>
      <c r="V20" s="44">
        <f t="shared" si="6"/>
        <v>2.8313999999999999</v>
      </c>
      <c r="W20" s="44">
        <f t="shared" si="6"/>
        <v>2.8313999999999999</v>
      </c>
      <c r="X20" s="44">
        <f t="shared" si="6"/>
        <v>2.8313999999999999</v>
      </c>
      <c r="Y20" s="44">
        <f t="shared" si="6"/>
        <v>2.8313999999999999</v>
      </c>
      <c r="Z20" s="44">
        <f t="shared" si="6"/>
        <v>2.8313999999999999</v>
      </c>
      <c r="AA20" s="44">
        <f t="shared" si="6"/>
        <v>2.8313999999999999</v>
      </c>
      <c r="AB20" s="44">
        <f t="shared" si="6"/>
        <v>2.8313999999999999</v>
      </c>
      <c r="AC20" s="44">
        <f t="shared" si="6"/>
        <v>2.8313999999999999</v>
      </c>
      <c r="AD20" s="44">
        <f t="shared" si="6"/>
        <v>2.8313999999999999</v>
      </c>
      <c r="AE20" s="44">
        <f t="shared" si="6"/>
        <v>2.8313999999999999</v>
      </c>
      <c r="AF20" s="44">
        <f t="shared" si="6"/>
        <v>2.8313999999999999</v>
      </c>
      <c r="AG20" s="44">
        <f t="shared" si="6"/>
        <v>2.8313999999999999</v>
      </c>
      <c r="AH20" s="44">
        <f t="shared" si="6"/>
        <v>2.8313999999999999</v>
      </c>
      <c r="AI20" s="44">
        <f t="shared" ref="AI20:AL33" si="7">($D20*$E20)/1000000</f>
        <v>2.8313999999999999</v>
      </c>
      <c r="AJ20" s="44">
        <f t="shared" si="7"/>
        <v>2.8313999999999999</v>
      </c>
      <c r="AK20" s="44">
        <f t="shared" si="7"/>
        <v>2.8313999999999999</v>
      </c>
      <c r="AL20" s="45">
        <f t="shared" si="7"/>
        <v>2.8313999999999999</v>
      </c>
      <c r="AM20" s="46">
        <f t="shared" si="4"/>
        <v>2.8313999999999999</v>
      </c>
      <c r="AN20" s="44">
        <f t="shared" si="4"/>
        <v>2.8313999999999999</v>
      </c>
      <c r="AO20" s="44">
        <f t="shared" si="4"/>
        <v>2.8313999999999999</v>
      </c>
      <c r="AP20" s="100">
        <f t="shared" si="5"/>
        <v>0.58720323683900166</v>
      </c>
      <c r="AQ20" s="100">
        <f t="shared" si="5"/>
        <v>0.58720323683900166</v>
      </c>
      <c r="AR20" s="100">
        <f t="shared" si="1"/>
        <v>0.58720323683900166</v>
      </c>
      <c r="AS20" s="100">
        <f t="shared" si="1"/>
        <v>0.58720323683900166</v>
      </c>
      <c r="AT20" s="100">
        <f t="shared" si="1"/>
        <v>0.58720323683900166</v>
      </c>
      <c r="AU20" s="100">
        <f t="shared" si="1"/>
        <v>0.58720323683900166</v>
      </c>
      <c r="AV20" s="100">
        <f t="shared" si="1"/>
        <v>0.58720323683900166</v>
      </c>
      <c r="AW20" s="100">
        <f t="shared" si="1"/>
        <v>0.58720323683900166</v>
      </c>
      <c r="AX20" s="100">
        <f t="shared" si="1"/>
        <v>0.58720323683900166</v>
      </c>
      <c r="AY20" s="100">
        <f t="shared" si="1"/>
        <v>0.58720323683900166</v>
      </c>
      <c r="AZ20" s="100">
        <f t="shared" si="1"/>
        <v>0.58720323683900166</v>
      </c>
      <c r="BA20" s="100">
        <f t="shared" si="1"/>
        <v>0.58720323683900166</v>
      </c>
      <c r="BB20" s="100">
        <f t="shared" si="1"/>
        <v>0.58720323683900166</v>
      </c>
      <c r="BC20" s="100">
        <f t="shared" si="1"/>
        <v>0.58720323683900166</v>
      </c>
      <c r="BD20" s="100">
        <f t="shared" si="1"/>
        <v>0.58720323683900166</v>
      </c>
      <c r="BE20" s="100">
        <f t="shared" si="1"/>
        <v>0.58720323683900166</v>
      </c>
      <c r="BF20" s="100">
        <f t="shared" si="1"/>
        <v>0.58720323683900166</v>
      </c>
      <c r="BG20" s="100">
        <f t="shared" si="1"/>
        <v>0.58720323683900166</v>
      </c>
      <c r="BH20" s="100">
        <f t="shared" si="1"/>
        <v>0.58720323683900166</v>
      </c>
      <c r="BI20" s="100">
        <f t="shared" si="1"/>
        <v>0.58720323683900166</v>
      </c>
      <c r="BJ20" s="100">
        <f t="shared" si="1"/>
        <v>0.58720323683900166</v>
      </c>
      <c r="BK20" s="100">
        <f t="shared" si="1"/>
        <v>0.58720323683900166</v>
      </c>
      <c r="BL20" s="100">
        <f t="shared" si="1"/>
        <v>0.58720323683900166</v>
      </c>
    </row>
    <row r="21" spans="1:64" ht="15.75">
      <c r="A21" s="28" t="s">
        <v>41</v>
      </c>
      <c r="B21" s="4" t="s">
        <v>74</v>
      </c>
      <c r="C21" s="21" t="s">
        <v>75</v>
      </c>
      <c r="D21" s="21">
        <v>384</v>
      </c>
      <c r="E21" s="32">
        <f t="shared" si="2"/>
        <v>7800</v>
      </c>
      <c r="F21" s="4" t="s">
        <v>32</v>
      </c>
      <c r="G21" s="4" t="s">
        <v>33</v>
      </c>
      <c r="H21" s="34">
        <v>2014</v>
      </c>
      <c r="I21" s="4" t="s">
        <v>34</v>
      </c>
      <c r="J21" s="1" t="s">
        <v>35</v>
      </c>
      <c r="K21" s="32">
        <v>2024</v>
      </c>
      <c r="L21" s="24">
        <v>2028</v>
      </c>
      <c r="M21" s="43">
        <f t="shared" si="3"/>
        <v>2.9952000000000001</v>
      </c>
      <c r="N21" s="44">
        <f t="shared" si="3"/>
        <v>2.9952000000000001</v>
      </c>
      <c r="O21" s="44">
        <f t="shared" si="3"/>
        <v>2.9952000000000001</v>
      </c>
      <c r="P21" s="44">
        <f t="shared" si="3"/>
        <v>2.9952000000000001</v>
      </c>
      <c r="Q21" s="44">
        <f t="shared" si="3"/>
        <v>2.9952000000000001</v>
      </c>
      <c r="R21" s="44">
        <f t="shared" si="3"/>
        <v>2.9952000000000001</v>
      </c>
      <c r="S21" s="44">
        <f t="shared" si="3"/>
        <v>2.9952000000000001</v>
      </c>
      <c r="T21" s="44">
        <f t="shared" si="3"/>
        <v>2.9952000000000001</v>
      </c>
      <c r="U21" s="44">
        <f t="shared" si="3"/>
        <v>2.9952000000000001</v>
      </c>
      <c r="V21" s="44">
        <f t="shared" si="3"/>
        <v>2.9952000000000001</v>
      </c>
      <c r="W21" s="44">
        <f t="shared" si="3"/>
        <v>2.9952000000000001</v>
      </c>
      <c r="X21" s="44">
        <f t="shared" si="3"/>
        <v>2.9952000000000001</v>
      </c>
      <c r="Y21" s="44">
        <f t="shared" si="3"/>
        <v>2.9952000000000001</v>
      </c>
      <c r="Z21" s="44">
        <f t="shared" si="3"/>
        <v>2.9952000000000001</v>
      </c>
      <c r="AA21" s="44">
        <f t="shared" si="3"/>
        <v>2.9952000000000001</v>
      </c>
      <c r="AB21" s="44">
        <f t="shared" si="3"/>
        <v>2.9952000000000001</v>
      </c>
      <c r="AC21" s="44">
        <f t="shared" si="6"/>
        <v>2.9952000000000001</v>
      </c>
      <c r="AD21" s="44">
        <f t="shared" si="6"/>
        <v>2.9952000000000001</v>
      </c>
      <c r="AE21" s="44">
        <f t="shared" si="6"/>
        <v>2.9952000000000001</v>
      </c>
      <c r="AF21" s="44">
        <f t="shared" si="6"/>
        <v>2.9952000000000001</v>
      </c>
      <c r="AG21" s="44">
        <f t="shared" si="6"/>
        <v>2.9952000000000001</v>
      </c>
      <c r="AH21" s="44">
        <f t="shared" si="6"/>
        <v>2.9952000000000001</v>
      </c>
      <c r="AI21" s="44">
        <f t="shared" si="7"/>
        <v>2.9952000000000001</v>
      </c>
      <c r="AJ21" s="44">
        <f t="shared" si="7"/>
        <v>2.9952000000000001</v>
      </c>
      <c r="AK21" s="44">
        <f t="shared" si="7"/>
        <v>2.9952000000000001</v>
      </c>
      <c r="AL21" s="45">
        <f t="shared" si="7"/>
        <v>2.9952000000000001</v>
      </c>
      <c r="AM21" s="46">
        <f t="shared" si="4"/>
        <v>2.9952000000000001</v>
      </c>
      <c r="AN21" s="44">
        <f t="shared" si="4"/>
        <v>2.9952000000000001</v>
      </c>
      <c r="AO21" s="44">
        <f t="shared" si="4"/>
        <v>2.9952000000000001</v>
      </c>
      <c r="AP21" s="100">
        <f t="shared" si="5"/>
        <v>0.58720323683900166</v>
      </c>
      <c r="AQ21" s="100">
        <f t="shared" si="5"/>
        <v>0.58720323683900166</v>
      </c>
      <c r="AR21" s="100">
        <f t="shared" si="1"/>
        <v>0.58720323683900166</v>
      </c>
      <c r="AS21" s="100">
        <f t="shared" si="1"/>
        <v>0.58720323683900166</v>
      </c>
      <c r="AT21" s="100">
        <f t="shared" si="1"/>
        <v>0.58720323683900166</v>
      </c>
      <c r="AU21" s="100">
        <f t="shared" si="1"/>
        <v>0.58720323683900166</v>
      </c>
      <c r="AV21" s="100">
        <f t="shared" si="1"/>
        <v>0.58720323683900166</v>
      </c>
      <c r="AW21" s="100">
        <f t="shared" si="1"/>
        <v>0.58720323683900166</v>
      </c>
      <c r="AX21" s="100">
        <f t="shared" si="1"/>
        <v>0.58720323683900166</v>
      </c>
      <c r="AY21" s="100">
        <f t="shared" si="1"/>
        <v>0.58720323683900166</v>
      </c>
      <c r="AZ21" s="100">
        <f t="shared" si="1"/>
        <v>0.58720323683900166</v>
      </c>
      <c r="BA21" s="100">
        <f t="shared" si="1"/>
        <v>0.58720323683900166</v>
      </c>
      <c r="BB21" s="100">
        <f t="shared" si="1"/>
        <v>0.58720323683900166</v>
      </c>
      <c r="BC21" s="100">
        <f t="shared" si="1"/>
        <v>0.58720323683900166</v>
      </c>
      <c r="BD21" s="100">
        <f t="shared" si="1"/>
        <v>0.58720323683900166</v>
      </c>
      <c r="BE21" s="100">
        <f t="shared" si="1"/>
        <v>0.58720323683900166</v>
      </c>
      <c r="BF21" s="100">
        <f t="shared" si="1"/>
        <v>0.58720323683900166</v>
      </c>
      <c r="BG21" s="100">
        <f t="shared" si="1"/>
        <v>0.58720323683900166</v>
      </c>
      <c r="BH21" s="100">
        <f t="shared" si="1"/>
        <v>0.58720323683900166</v>
      </c>
      <c r="BI21" s="100">
        <f t="shared" si="1"/>
        <v>0.58720323683900166</v>
      </c>
      <c r="BJ21" s="100">
        <f t="shared" si="1"/>
        <v>0.58720323683900166</v>
      </c>
      <c r="BK21" s="100">
        <f t="shared" si="1"/>
        <v>0.58720323683900166</v>
      </c>
      <c r="BL21" s="100">
        <f t="shared" si="1"/>
        <v>0.58720323683900166</v>
      </c>
    </row>
    <row r="22" spans="1:64" ht="15.75">
      <c r="A22" s="28" t="s">
        <v>41</v>
      </c>
      <c r="B22" s="4" t="s">
        <v>76</v>
      </c>
      <c r="C22" s="21" t="s">
        <v>75</v>
      </c>
      <c r="D22" s="21">
        <v>384</v>
      </c>
      <c r="E22" s="32">
        <f t="shared" si="2"/>
        <v>7800</v>
      </c>
      <c r="F22" s="4" t="s">
        <v>32</v>
      </c>
      <c r="G22" s="4" t="s">
        <v>33</v>
      </c>
      <c r="H22" s="34">
        <v>2014</v>
      </c>
      <c r="I22" s="4" t="s">
        <v>34</v>
      </c>
      <c r="J22" s="1" t="s">
        <v>35</v>
      </c>
      <c r="K22" s="32">
        <v>2024</v>
      </c>
      <c r="L22" s="24">
        <v>2028</v>
      </c>
      <c r="M22" s="43">
        <f t="shared" si="3"/>
        <v>2.9952000000000001</v>
      </c>
      <c r="N22" s="44">
        <f t="shared" si="3"/>
        <v>2.9952000000000001</v>
      </c>
      <c r="O22" s="44">
        <f t="shared" si="3"/>
        <v>2.9952000000000001</v>
      </c>
      <c r="P22" s="44">
        <f t="shared" si="3"/>
        <v>2.9952000000000001</v>
      </c>
      <c r="Q22" s="44">
        <f t="shared" si="3"/>
        <v>2.9952000000000001</v>
      </c>
      <c r="R22" s="44">
        <f t="shared" si="3"/>
        <v>2.9952000000000001</v>
      </c>
      <c r="S22" s="44">
        <f t="shared" si="3"/>
        <v>2.9952000000000001</v>
      </c>
      <c r="T22" s="44">
        <f t="shared" si="3"/>
        <v>2.9952000000000001</v>
      </c>
      <c r="U22" s="44">
        <f t="shared" si="3"/>
        <v>2.9952000000000001</v>
      </c>
      <c r="V22" s="44">
        <f t="shared" si="3"/>
        <v>2.9952000000000001</v>
      </c>
      <c r="W22" s="44">
        <f t="shared" si="3"/>
        <v>2.9952000000000001</v>
      </c>
      <c r="X22" s="44">
        <f t="shared" si="3"/>
        <v>2.9952000000000001</v>
      </c>
      <c r="Y22" s="44">
        <f t="shared" si="3"/>
        <v>2.9952000000000001</v>
      </c>
      <c r="Z22" s="44">
        <f t="shared" si="3"/>
        <v>2.9952000000000001</v>
      </c>
      <c r="AA22" s="44">
        <f t="shared" si="3"/>
        <v>2.9952000000000001</v>
      </c>
      <c r="AB22" s="44">
        <f t="shared" si="3"/>
        <v>2.9952000000000001</v>
      </c>
      <c r="AC22" s="44">
        <f t="shared" si="6"/>
        <v>2.9952000000000001</v>
      </c>
      <c r="AD22" s="44">
        <f t="shared" si="6"/>
        <v>2.9952000000000001</v>
      </c>
      <c r="AE22" s="44">
        <f t="shared" si="6"/>
        <v>2.9952000000000001</v>
      </c>
      <c r="AF22" s="44">
        <f t="shared" si="6"/>
        <v>2.9952000000000001</v>
      </c>
      <c r="AG22" s="44">
        <f t="shared" si="6"/>
        <v>2.9952000000000001</v>
      </c>
      <c r="AH22" s="44">
        <f t="shared" si="6"/>
        <v>2.9952000000000001</v>
      </c>
      <c r="AI22" s="44">
        <f t="shared" si="7"/>
        <v>2.9952000000000001</v>
      </c>
      <c r="AJ22" s="44">
        <f t="shared" si="7"/>
        <v>2.9952000000000001</v>
      </c>
      <c r="AK22" s="44">
        <f t="shared" si="7"/>
        <v>2.9952000000000001</v>
      </c>
      <c r="AL22" s="45">
        <f t="shared" si="7"/>
        <v>2.9952000000000001</v>
      </c>
      <c r="AM22" s="46">
        <f t="shared" si="4"/>
        <v>2.9952000000000001</v>
      </c>
      <c r="AN22" s="44">
        <f t="shared" si="4"/>
        <v>2.9952000000000001</v>
      </c>
      <c r="AO22" s="44">
        <f t="shared" si="4"/>
        <v>2.9952000000000001</v>
      </c>
      <c r="AP22" s="100">
        <f t="shared" si="5"/>
        <v>0.58720323683900166</v>
      </c>
      <c r="AQ22" s="100">
        <f t="shared" si="5"/>
        <v>0.58720323683900166</v>
      </c>
      <c r="AR22" s="100">
        <f t="shared" si="1"/>
        <v>0.58720323683900166</v>
      </c>
      <c r="AS22" s="100">
        <f t="shared" si="1"/>
        <v>0.58720323683900166</v>
      </c>
      <c r="AT22" s="100">
        <f t="shared" si="1"/>
        <v>0.58720323683900166</v>
      </c>
      <c r="AU22" s="100">
        <f t="shared" si="1"/>
        <v>0.58720323683900166</v>
      </c>
      <c r="AV22" s="100">
        <f t="shared" si="1"/>
        <v>0.58720323683900166</v>
      </c>
      <c r="AW22" s="100">
        <f t="shared" si="1"/>
        <v>0.58720323683900166</v>
      </c>
      <c r="AX22" s="100">
        <f t="shared" si="1"/>
        <v>0.58720323683900166</v>
      </c>
      <c r="AY22" s="100">
        <f t="shared" si="1"/>
        <v>0.58720323683900166</v>
      </c>
      <c r="AZ22" s="100">
        <f t="shared" si="1"/>
        <v>0.58720323683900166</v>
      </c>
      <c r="BA22" s="100">
        <f t="shared" si="1"/>
        <v>0.58720323683900166</v>
      </c>
      <c r="BB22" s="100">
        <f t="shared" si="1"/>
        <v>0.58720323683900166</v>
      </c>
      <c r="BC22" s="100">
        <f t="shared" si="1"/>
        <v>0.58720323683900166</v>
      </c>
      <c r="BD22" s="100">
        <f t="shared" si="1"/>
        <v>0.58720323683900166</v>
      </c>
      <c r="BE22" s="100">
        <f t="shared" si="1"/>
        <v>0.58720323683900166</v>
      </c>
      <c r="BF22" s="100">
        <f t="shared" si="1"/>
        <v>0.58720323683900166</v>
      </c>
      <c r="BG22" s="100">
        <f t="shared" si="1"/>
        <v>0.58720323683900166</v>
      </c>
      <c r="BH22" s="100">
        <f t="shared" ref="AR22:BL34" si="8">(($E22/$D$5)/1000)*$D$7</f>
        <v>0.58720323683900166</v>
      </c>
      <c r="BI22" s="100">
        <f t="shared" si="8"/>
        <v>0.58720323683900166</v>
      </c>
      <c r="BJ22" s="100">
        <f t="shared" si="8"/>
        <v>0.58720323683900166</v>
      </c>
      <c r="BK22" s="100">
        <f t="shared" si="8"/>
        <v>0.58720323683900166</v>
      </c>
      <c r="BL22" s="100">
        <f t="shared" si="8"/>
        <v>0.58720323683900166</v>
      </c>
    </row>
    <row r="23" spans="1:64" ht="15.75">
      <c r="A23" s="28" t="s">
        <v>53</v>
      </c>
      <c r="B23" s="4" t="s">
        <v>77</v>
      </c>
      <c r="C23" s="21" t="s">
        <v>78</v>
      </c>
      <c r="D23" s="21">
        <v>382</v>
      </c>
      <c r="E23" s="32">
        <f t="shared" si="2"/>
        <v>7800</v>
      </c>
      <c r="F23" s="4" t="s">
        <v>79</v>
      </c>
      <c r="G23" s="4" t="s">
        <v>48</v>
      </c>
      <c r="H23" s="34">
        <v>2015</v>
      </c>
      <c r="I23" s="4" t="s">
        <v>80</v>
      </c>
      <c r="J23" s="1" t="s">
        <v>35</v>
      </c>
      <c r="K23" s="32">
        <v>2025</v>
      </c>
      <c r="L23" s="24">
        <v>2029</v>
      </c>
      <c r="M23" s="43">
        <f t="shared" si="3"/>
        <v>2.9796</v>
      </c>
      <c r="N23" s="44">
        <f t="shared" si="3"/>
        <v>2.9796</v>
      </c>
      <c r="O23" s="44">
        <f t="shared" si="3"/>
        <v>2.9796</v>
      </c>
      <c r="P23" s="44">
        <f t="shared" si="3"/>
        <v>2.9796</v>
      </c>
      <c r="Q23" s="44">
        <f t="shared" si="3"/>
        <v>2.9796</v>
      </c>
      <c r="R23" s="44">
        <f t="shared" si="3"/>
        <v>2.9796</v>
      </c>
      <c r="S23" s="44">
        <f t="shared" si="3"/>
        <v>2.9796</v>
      </c>
      <c r="T23" s="44">
        <f t="shared" si="3"/>
        <v>2.9796</v>
      </c>
      <c r="U23" s="44">
        <f t="shared" si="3"/>
        <v>2.9796</v>
      </c>
      <c r="V23" s="44">
        <f t="shared" si="3"/>
        <v>2.9796</v>
      </c>
      <c r="W23" s="44">
        <f t="shared" si="3"/>
        <v>2.9796</v>
      </c>
      <c r="X23" s="44">
        <f t="shared" si="3"/>
        <v>2.9796</v>
      </c>
      <c r="Y23" s="44">
        <f t="shared" si="3"/>
        <v>2.9796</v>
      </c>
      <c r="Z23" s="44">
        <f t="shared" si="3"/>
        <v>2.9796</v>
      </c>
      <c r="AA23" s="44">
        <f t="shared" si="3"/>
        <v>2.9796</v>
      </c>
      <c r="AB23" s="44">
        <f t="shared" si="3"/>
        <v>2.9796</v>
      </c>
      <c r="AC23" s="44">
        <f t="shared" si="6"/>
        <v>2.9796</v>
      </c>
      <c r="AD23" s="44">
        <f t="shared" si="6"/>
        <v>2.9796</v>
      </c>
      <c r="AE23" s="44">
        <f t="shared" si="6"/>
        <v>2.9796</v>
      </c>
      <c r="AF23" s="44">
        <f t="shared" si="6"/>
        <v>2.9796</v>
      </c>
      <c r="AG23" s="44">
        <f t="shared" si="6"/>
        <v>2.9796</v>
      </c>
      <c r="AH23" s="44">
        <f t="shared" si="6"/>
        <v>2.9796</v>
      </c>
      <c r="AI23" s="44">
        <f t="shared" si="7"/>
        <v>2.9796</v>
      </c>
      <c r="AJ23" s="44">
        <f t="shared" si="7"/>
        <v>2.9796</v>
      </c>
      <c r="AK23" s="44">
        <f t="shared" si="7"/>
        <v>2.9796</v>
      </c>
      <c r="AL23" s="45">
        <f t="shared" si="7"/>
        <v>2.9796</v>
      </c>
      <c r="AM23" s="46">
        <f t="shared" si="4"/>
        <v>2.9796</v>
      </c>
      <c r="AN23" s="44">
        <f t="shared" si="4"/>
        <v>2.9796</v>
      </c>
      <c r="AO23" s="44">
        <f t="shared" si="4"/>
        <v>2.9796</v>
      </c>
      <c r="AP23" s="44">
        <f t="shared" si="4"/>
        <v>2.9796</v>
      </c>
      <c r="AQ23" s="100">
        <f t="shared" si="5"/>
        <v>0.58720323683900166</v>
      </c>
      <c r="AR23" s="100">
        <f t="shared" si="8"/>
        <v>0.58720323683900166</v>
      </c>
      <c r="AS23" s="100">
        <f t="shared" si="8"/>
        <v>0.58720323683900166</v>
      </c>
      <c r="AT23" s="100">
        <f t="shared" si="8"/>
        <v>0.58720323683900166</v>
      </c>
      <c r="AU23" s="100">
        <f t="shared" si="8"/>
        <v>0.58720323683900166</v>
      </c>
      <c r="AV23" s="100">
        <f t="shared" si="8"/>
        <v>0.58720323683900166</v>
      </c>
      <c r="AW23" s="100">
        <f t="shared" si="8"/>
        <v>0.58720323683900166</v>
      </c>
      <c r="AX23" s="100">
        <f t="shared" si="8"/>
        <v>0.58720323683900166</v>
      </c>
      <c r="AY23" s="100">
        <f t="shared" si="8"/>
        <v>0.58720323683900166</v>
      </c>
      <c r="AZ23" s="100">
        <f t="shared" si="8"/>
        <v>0.58720323683900166</v>
      </c>
      <c r="BA23" s="100">
        <f t="shared" si="8"/>
        <v>0.58720323683900166</v>
      </c>
      <c r="BB23" s="100">
        <f t="shared" si="8"/>
        <v>0.58720323683900166</v>
      </c>
      <c r="BC23" s="100">
        <f t="shared" si="8"/>
        <v>0.58720323683900166</v>
      </c>
      <c r="BD23" s="100">
        <f t="shared" si="8"/>
        <v>0.58720323683900166</v>
      </c>
      <c r="BE23" s="100">
        <f t="shared" si="8"/>
        <v>0.58720323683900166</v>
      </c>
      <c r="BF23" s="100">
        <f t="shared" si="8"/>
        <v>0.58720323683900166</v>
      </c>
      <c r="BG23" s="100">
        <f t="shared" si="8"/>
        <v>0.58720323683900166</v>
      </c>
      <c r="BH23" s="100">
        <f t="shared" si="8"/>
        <v>0.58720323683900166</v>
      </c>
      <c r="BI23" s="100">
        <f t="shared" si="8"/>
        <v>0.58720323683900166</v>
      </c>
      <c r="BJ23" s="100">
        <f t="shared" si="8"/>
        <v>0.58720323683900166</v>
      </c>
      <c r="BK23" s="100">
        <f t="shared" si="8"/>
        <v>0.58720323683900166</v>
      </c>
      <c r="BL23" s="100">
        <f t="shared" si="8"/>
        <v>0.58720323683900166</v>
      </c>
    </row>
    <row r="24" spans="1:64" ht="15.75" customHeight="1">
      <c r="A24" s="29" t="s">
        <v>81</v>
      </c>
      <c r="B24" s="4" t="s">
        <v>82</v>
      </c>
      <c r="C24" s="21" t="s">
        <v>83</v>
      </c>
      <c r="D24" s="21">
        <v>285</v>
      </c>
      <c r="E24" s="32">
        <f t="shared" si="2"/>
        <v>7800</v>
      </c>
      <c r="F24" s="4" t="s">
        <v>47</v>
      </c>
      <c r="G24" s="4" t="s">
        <v>48</v>
      </c>
      <c r="H24" s="34">
        <v>2016</v>
      </c>
      <c r="I24" s="4" t="s">
        <v>34</v>
      </c>
      <c r="J24" s="1" t="s">
        <v>35</v>
      </c>
      <c r="K24" s="32">
        <v>2026</v>
      </c>
      <c r="L24" s="24">
        <v>2029</v>
      </c>
      <c r="M24" s="43">
        <f t="shared" si="3"/>
        <v>2.2229999999999999</v>
      </c>
      <c r="N24" s="44">
        <f t="shared" si="3"/>
        <v>2.2229999999999999</v>
      </c>
      <c r="O24" s="44">
        <f t="shared" si="3"/>
        <v>2.2229999999999999</v>
      </c>
      <c r="P24" s="44">
        <f t="shared" si="3"/>
        <v>2.2229999999999999</v>
      </c>
      <c r="Q24" s="44">
        <f t="shared" si="3"/>
        <v>2.2229999999999999</v>
      </c>
      <c r="R24" s="44">
        <f t="shared" si="3"/>
        <v>2.2229999999999999</v>
      </c>
      <c r="S24" s="44">
        <f t="shared" si="3"/>
        <v>2.2229999999999999</v>
      </c>
      <c r="T24" s="44">
        <f t="shared" si="3"/>
        <v>2.2229999999999999</v>
      </c>
      <c r="U24" s="44">
        <f t="shared" si="3"/>
        <v>2.2229999999999999</v>
      </c>
      <c r="V24" s="44">
        <f t="shared" si="3"/>
        <v>2.2229999999999999</v>
      </c>
      <c r="W24" s="44">
        <f t="shared" si="3"/>
        <v>2.2229999999999999</v>
      </c>
      <c r="X24" s="44">
        <f t="shared" si="3"/>
        <v>2.2229999999999999</v>
      </c>
      <c r="Y24" s="44">
        <f t="shared" si="3"/>
        <v>2.2229999999999999</v>
      </c>
      <c r="Z24" s="44">
        <f t="shared" si="3"/>
        <v>2.2229999999999999</v>
      </c>
      <c r="AA24" s="44">
        <f t="shared" si="3"/>
        <v>2.2229999999999999</v>
      </c>
      <c r="AB24" s="44">
        <f t="shared" si="3"/>
        <v>2.2229999999999999</v>
      </c>
      <c r="AC24" s="44">
        <f t="shared" si="6"/>
        <v>2.2229999999999999</v>
      </c>
      <c r="AD24" s="44">
        <f t="shared" si="6"/>
        <v>2.2229999999999999</v>
      </c>
      <c r="AE24" s="44">
        <f t="shared" si="6"/>
        <v>2.2229999999999999</v>
      </c>
      <c r="AF24" s="44">
        <f t="shared" si="6"/>
        <v>2.2229999999999999</v>
      </c>
      <c r="AG24" s="44">
        <f t="shared" si="6"/>
        <v>2.2229999999999999</v>
      </c>
      <c r="AH24" s="44">
        <f t="shared" si="6"/>
        <v>2.2229999999999999</v>
      </c>
      <c r="AI24" s="44">
        <f t="shared" si="7"/>
        <v>2.2229999999999999</v>
      </c>
      <c r="AJ24" s="44">
        <f t="shared" si="7"/>
        <v>2.2229999999999999</v>
      </c>
      <c r="AK24" s="44">
        <f t="shared" si="7"/>
        <v>2.2229999999999999</v>
      </c>
      <c r="AL24" s="45">
        <f t="shared" si="7"/>
        <v>2.2229999999999999</v>
      </c>
      <c r="AM24" s="46">
        <f t="shared" si="4"/>
        <v>2.2229999999999999</v>
      </c>
      <c r="AN24" s="44">
        <f t="shared" si="4"/>
        <v>2.2229999999999999</v>
      </c>
      <c r="AO24" s="44">
        <f t="shared" si="4"/>
        <v>2.2229999999999999</v>
      </c>
      <c r="AP24" s="44">
        <f t="shared" si="4"/>
        <v>2.2229999999999999</v>
      </c>
      <c r="AQ24" s="100">
        <f t="shared" si="5"/>
        <v>0.58720323683900166</v>
      </c>
      <c r="AR24" s="100">
        <f t="shared" si="8"/>
        <v>0.58720323683900166</v>
      </c>
      <c r="AS24" s="100">
        <f t="shared" si="8"/>
        <v>0.58720323683900166</v>
      </c>
      <c r="AT24" s="100">
        <f t="shared" si="8"/>
        <v>0.58720323683900166</v>
      </c>
      <c r="AU24" s="100">
        <f t="shared" si="8"/>
        <v>0.58720323683900166</v>
      </c>
      <c r="AV24" s="100">
        <f t="shared" si="8"/>
        <v>0.58720323683900166</v>
      </c>
      <c r="AW24" s="100">
        <f t="shared" si="8"/>
        <v>0.58720323683900166</v>
      </c>
      <c r="AX24" s="100">
        <f t="shared" si="8"/>
        <v>0.58720323683900166</v>
      </c>
      <c r="AY24" s="100">
        <f t="shared" si="8"/>
        <v>0.58720323683900166</v>
      </c>
      <c r="AZ24" s="100">
        <f t="shared" si="8"/>
        <v>0.58720323683900166</v>
      </c>
      <c r="BA24" s="100">
        <f t="shared" si="8"/>
        <v>0.58720323683900166</v>
      </c>
      <c r="BB24" s="100">
        <f t="shared" si="8"/>
        <v>0.58720323683900166</v>
      </c>
      <c r="BC24" s="100">
        <f t="shared" si="8"/>
        <v>0.58720323683900166</v>
      </c>
      <c r="BD24" s="100">
        <f t="shared" si="8"/>
        <v>0.58720323683900166</v>
      </c>
      <c r="BE24" s="100">
        <f t="shared" si="8"/>
        <v>0.58720323683900166</v>
      </c>
      <c r="BF24" s="100">
        <f t="shared" si="8"/>
        <v>0.58720323683900166</v>
      </c>
      <c r="BG24" s="100">
        <f t="shared" si="8"/>
        <v>0.58720323683900166</v>
      </c>
      <c r="BH24" s="100">
        <f t="shared" si="8"/>
        <v>0.58720323683900166</v>
      </c>
      <c r="BI24" s="100">
        <f t="shared" si="8"/>
        <v>0.58720323683900166</v>
      </c>
      <c r="BJ24" s="100">
        <f t="shared" si="8"/>
        <v>0.58720323683900166</v>
      </c>
      <c r="BK24" s="100">
        <f t="shared" si="8"/>
        <v>0.58720323683900166</v>
      </c>
      <c r="BL24" s="100">
        <f t="shared" si="8"/>
        <v>0.58720323683900166</v>
      </c>
    </row>
    <row r="25" spans="1:64" ht="15.75">
      <c r="A25" s="28" t="s">
        <v>84</v>
      </c>
      <c r="B25" s="4" t="s">
        <v>85</v>
      </c>
      <c r="C25" s="21" t="s">
        <v>86</v>
      </c>
      <c r="D25" s="21">
        <v>474</v>
      </c>
      <c r="E25" s="32">
        <f t="shared" si="2"/>
        <v>7800</v>
      </c>
      <c r="F25" s="4" t="s">
        <v>87</v>
      </c>
      <c r="G25" s="4" t="s">
        <v>48</v>
      </c>
      <c r="H25" s="34">
        <v>2016</v>
      </c>
      <c r="I25" s="4" t="s">
        <v>80</v>
      </c>
      <c r="J25" s="1" t="s">
        <v>35</v>
      </c>
      <c r="K25" s="32">
        <v>2026</v>
      </c>
      <c r="L25" s="24">
        <v>2029</v>
      </c>
      <c r="M25" s="43">
        <f t="shared" si="3"/>
        <v>3.6972</v>
      </c>
      <c r="N25" s="44">
        <f t="shared" si="3"/>
        <v>3.6972</v>
      </c>
      <c r="O25" s="44">
        <f t="shared" si="3"/>
        <v>3.6972</v>
      </c>
      <c r="P25" s="44">
        <f t="shared" si="3"/>
        <v>3.6972</v>
      </c>
      <c r="Q25" s="44">
        <f t="shared" si="3"/>
        <v>3.6972</v>
      </c>
      <c r="R25" s="44">
        <f t="shared" si="3"/>
        <v>3.6972</v>
      </c>
      <c r="S25" s="44">
        <f t="shared" si="3"/>
        <v>3.6972</v>
      </c>
      <c r="T25" s="44">
        <f t="shared" si="3"/>
        <v>3.6972</v>
      </c>
      <c r="U25" s="44">
        <f t="shared" si="3"/>
        <v>3.6972</v>
      </c>
      <c r="V25" s="44">
        <f t="shared" si="3"/>
        <v>3.6972</v>
      </c>
      <c r="W25" s="44">
        <f t="shared" si="3"/>
        <v>3.6972</v>
      </c>
      <c r="X25" s="44">
        <f t="shared" si="3"/>
        <v>3.6972</v>
      </c>
      <c r="Y25" s="44">
        <f t="shared" si="3"/>
        <v>3.6972</v>
      </c>
      <c r="Z25" s="44">
        <f t="shared" si="3"/>
        <v>3.6972</v>
      </c>
      <c r="AA25" s="44">
        <f t="shared" si="3"/>
        <v>3.6972</v>
      </c>
      <c r="AB25" s="44">
        <f t="shared" si="3"/>
        <v>3.6972</v>
      </c>
      <c r="AC25" s="44">
        <f t="shared" si="6"/>
        <v>3.6972</v>
      </c>
      <c r="AD25" s="44">
        <f t="shared" si="6"/>
        <v>3.6972</v>
      </c>
      <c r="AE25" s="44">
        <f t="shared" si="6"/>
        <v>3.6972</v>
      </c>
      <c r="AF25" s="44">
        <f t="shared" si="6"/>
        <v>3.6972</v>
      </c>
      <c r="AG25" s="44">
        <f t="shared" si="6"/>
        <v>3.6972</v>
      </c>
      <c r="AH25" s="44">
        <f t="shared" si="6"/>
        <v>3.6972</v>
      </c>
      <c r="AI25" s="44">
        <f t="shared" si="7"/>
        <v>3.6972</v>
      </c>
      <c r="AJ25" s="44">
        <f t="shared" si="7"/>
        <v>3.6972</v>
      </c>
      <c r="AK25" s="44">
        <f t="shared" si="7"/>
        <v>3.6972</v>
      </c>
      <c r="AL25" s="45">
        <f t="shared" si="7"/>
        <v>3.6972</v>
      </c>
      <c r="AM25" s="46">
        <f t="shared" si="4"/>
        <v>3.6972</v>
      </c>
      <c r="AN25" s="44">
        <f t="shared" si="4"/>
        <v>3.6972</v>
      </c>
      <c r="AO25" s="44">
        <f t="shared" si="4"/>
        <v>3.6972</v>
      </c>
      <c r="AP25" s="44">
        <f t="shared" si="4"/>
        <v>3.6972</v>
      </c>
      <c r="AQ25" s="100">
        <f t="shared" si="5"/>
        <v>0.58720323683900166</v>
      </c>
      <c r="AR25" s="100">
        <f t="shared" si="8"/>
        <v>0.58720323683900166</v>
      </c>
      <c r="AS25" s="100">
        <f t="shared" si="8"/>
        <v>0.58720323683900166</v>
      </c>
      <c r="AT25" s="100">
        <f t="shared" si="8"/>
        <v>0.58720323683900166</v>
      </c>
      <c r="AU25" s="100">
        <f t="shared" si="8"/>
        <v>0.58720323683900166</v>
      </c>
      <c r="AV25" s="100">
        <f t="shared" si="8"/>
        <v>0.58720323683900166</v>
      </c>
      <c r="AW25" s="100">
        <f t="shared" si="8"/>
        <v>0.58720323683900166</v>
      </c>
      <c r="AX25" s="100">
        <f t="shared" si="8"/>
        <v>0.58720323683900166</v>
      </c>
      <c r="AY25" s="100">
        <f t="shared" si="8"/>
        <v>0.58720323683900166</v>
      </c>
      <c r="AZ25" s="100">
        <f t="shared" si="8"/>
        <v>0.58720323683900166</v>
      </c>
      <c r="BA25" s="100">
        <f t="shared" si="8"/>
        <v>0.58720323683900166</v>
      </c>
      <c r="BB25" s="100">
        <f t="shared" si="8"/>
        <v>0.58720323683900166</v>
      </c>
      <c r="BC25" s="100">
        <f t="shared" si="8"/>
        <v>0.58720323683900166</v>
      </c>
      <c r="BD25" s="100">
        <f t="shared" si="8"/>
        <v>0.58720323683900166</v>
      </c>
      <c r="BE25" s="100">
        <f t="shared" si="8"/>
        <v>0.58720323683900166</v>
      </c>
      <c r="BF25" s="100">
        <f t="shared" si="8"/>
        <v>0.58720323683900166</v>
      </c>
      <c r="BG25" s="100">
        <f t="shared" si="8"/>
        <v>0.58720323683900166</v>
      </c>
      <c r="BH25" s="100">
        <f t="shared" si="8"/>
        <v>0.58720323683900166</v>
      </c>
      <c r="BI25" s="100">
        <f t="shared" si="8"/>
        <v>0.58720323683900166</v>
      </c>
      <c r="BJ25" s="100">
        <f t="shared" si="8"/>
        <v>0.58720323683900166</v>
      </c>
      <c r="BK25" s="100">
        <f t="shared" si="8"/>
        <v>0.58720323683900166</v>
      </c>
      <c r="BL25" s="100">
        <f t="shared" si="8"/>
        <v>0.58720323683900166</v>
      </c>
    </row>
    <row r="26" spans="1:64" ht="15.75">
      <c r="A26" s="28" t="s">
        <v>88</v>
      </c>
      <c r="B26" s="4" t="s">
        <v>89</v>
      </c>
      <c r="C26" s="21" t="s">
        <v>90</v>
      </c>
      <c r="D26" s="21">
        <v>289</v>
      </c>
      <c r="E26" s="32">
        <f t="shared" si="2"/>
        <v>7800</v>
      </c>
      <c r="F26" s="4" t="s">
        <v>87</v>
      </c>
      <c r="G26" s="4" t="s">
        <v>48</v>
      </c>
      <c r="H26" s="34">
        <v>2017</v>
      </c>
      <c r="I26" s="4" t="s">
        <v>40</v>
      </c>
      <c r="J26" s="1" t="s">
        <v>35</v>
      </c>
      <c r="K26" s="32">
        <v>2027</v>
      </c>
      <c r="L26" s="24">
        <v>2029</v>
      </c>
      <c r="M26" s="43">
        <f t="shared" si="3"/>
        <v>2.2542</v>
      </c>
      <c r="N26" s="44">
        <f t="shared" si="3"/>
        <v>2.2542</v>
      </c>
      <c r="O26" s="44">
        <f t="shared" si="3"/>
        <v>2.2542</v>
      </c>
      <c r="P26" s="44">
        <f t="shared" si="3"/>
        <v>2.2542</v>
      </c>
      <c r="Q26" s="44">
        <f t="shared" si="3"/>
        <v>2.2542</v>
      </c>
      <c r="R26" s="44">
        <f t="shared" si="3"/>
        <v>2.2542</v>
      </c>
      <c r="S26" s="44">
        <f t="shared" si="3"/>
        <v>2.2542</v>
      </c>
      <c r="T26" s="44">
        <f t="shared" si="3"/>
        <v>2.2542</v>
      </c>
      <c r="U26" s="44">
        <f t="shared" si="3"/>
        <v>2.2542</v>
      </c>
      <c r="V26" s="44">
        <f t="shared" si="3"/>
        <v>2.2542</v>
      </c>
      <c r="W26" s="44">
        <f t="shared" si="3"/>
        <v>2.2542</v>
      </c>
      <c r="X26" s="44">
        <f t="shared" si="3"/>
        <v>2.2542</v>
      </c>
      <c r="Y26" s="44">
        <f t="shared" si="3"/>
        <v>2.2542</v>
      </c>
      <c r="Z26" s="44">
        <f t="shared" si="3"/>
        <v>2.2542</v>
      </c>
      <c r="AA26" s="44">
        <f t="shared" si="3"/>
        <v>2.2542</v>
      </c>
      <c r="AB26" s="44">
        <f t="shared" si="3"/>
        <v>2.2542</v>
      </c>
      <c r="AC26" s="44">
        <f t="shared" si="6"/>
        <v>2.2542</v>
      </c>
      <c r="AD26" s="44">
        <f t="shared" si="6"/>
        <v>2.2542</v>
      </c>
      <c r="AE26" s="44">
        <f t="shared" si="6"/>
        <v>2.2542</v>
      </c>
      <c r="AF26" s="44">
        <f t="shared" si="6"/>
        <v>2.2542</v>
      </c>
      <c r="AG26" s="44">
        <f t="shared" si="6"/>
        <v>2.2542</v>
      </c>
      <c r="AH26" s="44">
        <f t="shared" si="6"/>
        <v>2.2542</v>
      </c>
      <c r="AI26" s="44">
        <f t="shared" si="7"/>
        <v>2.2542</v>
      </c>
      <c r="AJ26" s="44">
        <f t="shared" si="7"/>
        <v>2.2542</v>
      </c>
      <c r="AK26" s="44">
        <f t="shared" si="7"/>
        <v>2.2542</v>
      </c>
      <c r="AL26" s="45">
        <f t="shared" si="7"/>
        <v>2.2542</v>
      </c>
      <c r="AM26" s="46">
        <f t="shared" si="4"/>
        <v>2.2542</v>
      </c>
      <c r="AN26" s="44">
        <f t="shared" si="4"/>
        <v>2.2542</v>
      </c>
      <c r="AO26" s="44">
        <f t="shared" si="4"/>
        <v>2.2542</v>
      </c>
      <c r="AP26" s="44">
        <f t="shared" si="4"/>
        <v>2.2542</v>
      </c>
      <c r="AQ26" s="100">
        <f t="shared" si="5"/>
        <v>0.58720323683900166</v>
      </c>
      <c r="AR26" s="100">
        <f t="shared" si="8"/>
        <v>0.58720323683900166</v>
      </c>
      <c r="AS26" s="100">
        <f t="shared" si="8"/>
        <v>0.58720323683900166</v>
      </c>
      <c r="AT26" s="100">
        <f t="shared" si="8"/>
        <v>0.58720323683900166</v>
      </c>
      <c r="AU26" s="100">
        <f t="shared" si="8"/>
        <v>0.58720323683900166</v>
      </c>
      <c r="AV26" s="100">
        <f t="shared" si="8"/>
        <v>0.58720323683900166</v>
      </c>
      <c r="AW26" s="100">
        <f t="shared" si="8"/>
        <v>0.58720323683900166</v>
      </c>
      <c r="AX26" s="100">
        <f t="shared" si="8"/>
        <v>0.58720323683900166</v>
      </c>
      <c r="AY26" s="100">
        <f t="shared" si="8"/>
        <v>0.58720323683900166</v>
      </c>
      <c r="AZ26" s="100">
        <f t="shared" si="8"/>
        <v>0.58720323683900166</v>
      </c>
      <c r="BA26" s="100">
        <f t="shared" si="8"/>
        <v>0.58720323683900166</v>
      </c>
      <c r="BB26" s="100">
        <f t="shared" si="8"/>
        <v>0.58720323683900166</v>
      </c>
      <c r="BC26" s="100">
        <f t="shared" si="8"/>
        <v>0.58720323683900166</v>
      </c>
      <c r="BD26" s="100">
        <f t="shared" si="8"/>
        <v>0.58720323683900166</v>
      </c>
      <c r="BE26" s="100">
        <f t="shared" si="8"/>
        <v>0.58720323683900166</v>
      </c>
      <c r="BF26" s="100">
        <f t="shared" si="8"/>
        <v>0.58720323683900166</v>
      </c>
      <c r="BG26" s="100">
        <f t="shared" si="8"/>
        <v>0.58720323683900166</v>
      </c>
      <c r="BH26" s="100">
        <f t="shared" si="8"/>
        <v>0.58720323683900166</v>
      </c>
      <c r="BI26" s="100">
        <f t="shared" si="8"/>
        <v>0.58720323683900166</v>
      </c>
      <c r="BJ26" s="100">
        <f t="shared" si="8"/>
        <v>0.58720323683900166</v>
      </c>
      <c r="BK26" s="100">
        <f t="shared" si="8"/>
        <v>0.58720323683900166</v>
      </c>
      <c r="BL26" s="100">
        <f t="shared" si="8"/>
        <v>0.58720323683900166</v>
      </c>
    </row>
    <row r="27" spans="1:64" ht="15.75">
      <c r="A27" s="28" t="s">
        <v>91</v>
      </c>
      <c r="B27" s="4" t="s">
        <v>92</v>
      </c>
      <c r="C27" s="21" t="s">
        <v>93</v>
      </c>
      <c r="D27" s="21">
        <v>343</v>
      </c>
      <c r="E27" s="32">
        <f t="shared" si="2"/>
        <v>7800</v>
      </c>
      <c r="F27" s="4" t="s">
        <v>94</v>
      </c>
      <c r="G27" s="4" t="s">
        <v>48</v>
      </c>
      <c r="H27" s="35">
        <v>2013</v>
      </c>
      <c r="I27" s="4" t="s">
        <v>49</v>
      </c>
      <c r="J27" s="2" t="s">
        <v>95</v>
      </c>
      <c r="K27" s="32">
        <v>2028</v>
      </c>
      <c r="L27" s="24">
        <v>2028</v>
      </c>
      <c r="M27" s="43">
        <f t="shared" si="3"/>
        <v>2.6753999999999998</v>
      </c>
      <c r="N27" s="44">
        <f t="shared" si="3"/>
        <v>2.6753999999999998</v>
      </c>
      <c r="O27" s="44">
        <f t="shared" si="3"/>
        <v>2.6753999999999998</v>
      </c>
      <c r="P27" s="44">
        <f t="shared" si="3"/>
        <v>2.6753999999999998</v>
      </c>
      <c r="Q27" s="44">
        <f t="shared" si="3"/>
        <v>2.6753999999999998</v>
      </c>
      <c r="R27" s="44">
        <f t="shared" si="3"/>
        <v>2.6753999999999998</v>
      </c>
      <c r="S27" s="44">
        <f t="shared" si="3"/>
        <v>2.6753999999999998</v>
      </c>
      <c r="T27" s="44">
        <f t="shared" si="3"/>
        <v>2.6753999999999998</v>
      </c>
      <c r="U27" s="44">
        <f t="shared" si="3"/>
        <v>2.6753999999999998</v>
      </c>
      <c r="V27" s="44">
        <f t="shared" si="3"/>
        <v>2.6753999999999998</v>
      </c>
      <c r="W27" s="44">
        <f t="shared" si="3"/>
        <v>2.6753999999999998</v>
      </c>
      <c r="X27" s="44">
        <f t="shared" si="3"/>
        <v>2.6753999999999998</v>
      </c>
      <c r="Y27" s="44">
        <f t="shared" si="3"/>
        <v>2.6753999999999998</v>
      </c>
      <c r="Z27" s="44">
        <f t="shared" si="3"/>
        <v>2.6753999999999998</v>
      </c>
      <c r="AA27" s="44">
        <f t="shared" si="3"/>
        <v>2.6753999999999998</v>
      </c>
      <c r="AB27" s="44">
        <f t="shared" si="3"/>
        <v>2.6753999999999998</v>
      </c>
      <c r="AC27" s="44">
        <f t="shared" si="6"/>
        <v>2.6753999999999998</v>
      </c>
      <c r="AD27" s="44">
        <f t="shared" si="6"/>
        <v>2.6753999999999998</v>
      </c>
      <c r="AE27" s="44">
        <f t="shared" si="6"/>
        <v>2.6753999999999998</v>
      </c>
      <c r="AF27" s="44">
        <f t="shared" si="6"/>
        <v>2.6753999999999998</v>
      </c>
      <c r="AG27" s="44">
        <f t="shared" si="6"/>
        <v>2.6753999999999998</v>
      </c>
      <c r="AH27" s="44">
        <f t="shared" si="6"/>
        <v>2.6753999999999998</v>
      </c>
      <c r="AI27" s="44">
        <f t="shared" si="7"/>
        <v>2.6753999999999998</v>
      </c>
      <c r="AJ27" s="44">
        <f t="shared" si="7"/>
        <v>2.6753999999999998</v>
      </c>
      <c r="AK27" s="44">
        <f t="shared" si="7"/>
        <v>2.6753999999999998</v>
      </c>
      <c r="AL27" s="45">
        <f t="shared" si="7"/>
        <v>2.6753999999999998</v>
      </c>
      <c r="AM27" s="46">
        <f t="shared" si="4"/>
        <v>2.6753999999999998</v>
      </c>
      <c r="AN27" s="44">
        <f t="shared" si="4"/>
        <v>2.6753999999999998</v>
      </c>
      <c r="AO27" s="44">
        <f t="shared" si="4"/>
        <v>2.6753999999999998</v>
      </c>
      <c r="AP27" s="100">
        <f t="shared" ref="AP27:BE34" si="9">(($E27/$D$5)/1000)*$D$7</f>
        <v>0.58720323683900166</v>
      </c>
      <c r="AQ27" s="100">
        <f t="shared" si="9"/>
        <v>0.58720323683900166</v>
      </c>
      <c r="AR27" s="100">
        <f t="shared" si="9"/>
        <v>0.58720323683900166</v>
      </c>
      <c r="AS27" s="100">
        <f t="shared" si="9"/>
        <v>0.58720323683900166</v>
      </c>
      <c r="AT27" s="100">
        <f t="shared" si="9"/>
        <v>0.58720323683900166</v>
      </c>
      <c r="AU27" s="100">
        <f t="shared" si="9"/>
        <v>0.58720323683900166</v>
      </c>
      <c r="AV27" s="100">
        <f t="shared" si="9"/>
        <v>0.58720323683900166</v>
      </c>
      <c r="AW27" s="100">
        <f t="shared" si="9"/>
        <v>0.58720323683900166</v>
      </c>
      <c r="AX27" s="100">
        <f t="shared" si="9"/>
        <v>0.58720323683900166</v>
      </c>
      <c r="AY27" s="100">
        <f t="shared" si="9"/>
        <v>0.58720323683900166</v>
      </c>
      <c r="AZ27" s="100">
        <f t="shared" si="9"/>
        <v>0.58720323683900166</v>
      </c>
      <c r="BA27" s="100">
        <f t="shared" si="9"/>
        <v>0.58720323683900166</v>
      </c>
      <c r="BB27" s="100">
        <f t="shared" si="9"/>
        <v>0.58720323683900166</v>
      </c>
      <c r="BC27" s="100">
        <f t="shared" si="9"/>
        <v>0.58720323683900166</v>
      </c>
      <c r="BD27" s="100">
        <f t="shared" si="9"/>
        <v>0.58720323683900166</v>
      </c>
      <c r="BE27" s="100">
        <f t="shared" si="9"/>
        <v>0.58720323683900166</v>
      </c>
      <c r="BF27" s="100">
        <f t="shared" si="8"/>
        <v>0.58720323683900166</v>
      </c>
      <c r="BG27" s="100">
        <f t="shared" si="8"/>
        <v>0.58720323683900166</v>
      </c>
      <c r="BH27" s="100">
        <f t="shared" si="8"/>
        <v>0.58720323683900166</v>
      </c>
      <c r="BI27" s="100">
        <f t="shared" si="8"/>
        <v>0.58720323683900166</v>
      </c>
      <c r="BJ27" s="100">
        <f t="shared" si="8"/>
        <v>0.58720323683900166</v>
      </c>
      <c r="BK27" s="100">
        <f t="shared" si="8"/>
        <v>0.58720323683900166</v>
      </c>
      <c r="BL27" s="100">
        <f t="shared" si="8"/>
        <v>0.58720323683900166</v>
      </c>
    </row>
    <row r="28" spans="1:64" ht="15.75" customHeight="1">
      <c r="A28" s="28" t="s">
        <v>96</v>
      </c>
      <c r="B28" s="4" t="s">
        <v>97</v>
      </c>
      <c r="C28" s="21" t="s">
        <v>98</v>
      </c>
      <c r="D28" s="21">
        <v>347</v>
      </c>
      <c r="E28" s="32">
        <f t="shared" si="2"/>
        <v>7800</v>
      </c>
      <c r="F28" s="5" t="s">
        <v>99</v>
      </c>
      <c r="G28" s="5" t="s">
        <v>48</v>
      </c>
      <c r="H28" s="34">
        <v>2014</v>
      </c>
      <c r="I28" s="4" t="s">
        <v>80</v>
      </c>
      <c r="J28" s="1" t="s">
        <v>35</v>
      </c>
      <c r="K28" s="32">
        <v>2029</v>
      </c>
      <c r="L28" s="24">
        <v>2028</v>
      </c>
      <c r="M28" s="43">
        <f t="shared" si="3"/>
        <v>2.7065999999999999</v>
      </c>
      <c r="N28" s="44">
        <f t="shared" si="3"/>
        <v>2.7065999999999999</v>
      </c>
      <c r="O28" s="44">
        <f t="shared" si="3"/>
        <v>2.7065999999999999</v>
      </c>
      <c r="P28" s="44">
        <f t="shared" si="3"/>
        <v>2.7065999999999999</v>
      </c>
      <c r="Q28" s="44">
        <f t="shared" si="3"/>
        <v>2.7065999999999999</v>
      </c>
      <c r="R28" s="44">
        <f t="shared" si="3"/>
        <v>2.7065999999999999</v>
      </c>
      <c r="S28" s="44">
        <f t="shared" si="3"/>
        <v>2.7065999999999999</v>
      </c>
      <c r="T28" s="44">
        <f t="shared" si="3"/>
        <v>2.7065999999999999</v>
      </c>
      <c r="U28" s="44">
        <f t="shared" si="3"/>
        <v>2.7065999999999999</v>
      </c>
      <c r="V28" s="44">
        <f t="shared" si="3"/>
        <v>2.7065999999999999</v>
      </c>
      <c r="W28" s="44">
        <f t="shared" si="3"/>
        <v>2.7065999999999999</v>
      </c>
      <c r="X28" s="44">
        <f t="shared" si="3"/>
        <v>2.7065999999999999</v>
      </c>
      <c r="Y28" s="44">
        <f t="shared" si="3"/>
        <v>2.7065999999999999</v>
      </c>
      <c r="Z28" s="44">
        <f t="shared" si="3"/>
        <v>2.7065999999999999</v>
      </c>
      <c r="AA28" s="44">
        <f t="shared" si="3"/>
        <v>2.7065999999999999</v>
      </c>
      <c r="AB28" s="44">
        <f t="shared" si="3"/>
        <v>2.7065999999999999</v>
      </c>
      <c r="AC28" s="44">
        <f t="shared" si="6"/>
        <v>2.7065999999999999</v>
      </c>
      <c r="AD28" s="44">
        <f t="shared" si="6"/>
        <v>2.7065999999999999</v>
      </c>
      <c r="AE28" s="44">
        <f t="shared" si="6"/>
        <v>2.7065999999999999</v>
      </c>
      <c r="AF28" s="44">
        <f t="shared" si="6"/>
        <v>2.7065999999999999</v>
      </c>
      <c r="AG28" s="44">
        <f t="shared" si="6"/>
        <v>2.7065999999999999</v>
      </c>
      <c r="AH28" s="44">
        <f t="shared" si="6"/>
        <v>2.7065999999999999</v>
      </c>
      <c r="AI28" s="44">
        <f t="shared" si="7"/>
        <v>2.7065999999999999</v>
      </c>
      <c r="AJ28" s="44">
        <f t="shared" si="7"/>
        <v>2.7065999999999999</v>
      </c>
      <c r="AK28" s="44">
        <f t="shared" si="7"/>
        <v>2.7065999999999999</v>
      </c>
      <c r="AL28" s="45">
        <f t="shared" si="7"/>
        <v>2.7065999999999999</v>
      </c>
      <c r="AM28" s="46">
        <f t="shared" si="4"/>
        <v>2.7065999999999999</v>
      </c>
      <c r="AN28" s="44">
        <f t="shared" si="4"/>
        <v>2.7065999999999999</v>
      </c>
      <c r="AO28" s="44">
        <f t="shared" si="4"/>
        <v>2.7065999999999999</v>
      </c>
      <c r="AP28" s="100">
        <f t="shared" si="9"/>
        <v>0.58720323683900166</v>
      </c>
      <c r="AQ28" s="100">
        <f t="shared" si="9"/>
        <v>0.58720323683900166</v>
      </c>
      <c r="AR28" s="100">
        <f t="shared" si="8"/>
        <v>0.58720323683900166</v>
      </c>
      <c r="AS28" s="100">
        <f t="shared" si="8"/>
        <v>0.58720323683900166</v>
      </c>
      <c r="AT28" s="100">
        <f t="shared" si="8"/>
        <v>0.58720323683900166</v>
      </c>
      <c r="AU28" s="100">
        <f t="shared" si="8"/>
        <v>0.58720323683900166</v>
      </c>
      <c r="AV28" s="100">
        <f t="shared" si="8"/>
        <v>0.58720323683900166</v>
      </c>
      <c r="AW28" s="100">
        <f t="shared" si="8"/>
        <v>0.58720323683900166</v>
      </c>
      <c r="AX28" s="100">
        <f t="shared" si="8"/>
        <v>0.58720323683900166</v>
      </c>
      <c r="AY28" s="100">
        <f t="shared" si="8"/>
        <v>0.58720323683900166</v>
      </c>
      <c r="AZ28" s="100">
        <f t="shared" si="8"/>
        <v>0.58720323683900166</v>
      </c>
      <c r="BA28" s="100">
        <f t="shared" si="8"/>
        <v>0.58720323683900166</v>
      </c>
      <c r="BB28" s="100">
        <f t="shared" si="8"/>
        <v>0.58720323683900166</v>
      </c>
      <c r="BC28" s="100">
        <f t="shared" si="8"/>
        <v>0.58720323683900166</v>
      </c>
      <c r="BD28" s="100">
        <f t="shared" si="8"/>
        <v>0.58720323683900166</v>
      </c>
      <c r="BE28" s="100">
        <f t="shared" si="8"/>
        <v>0.58720323683900166</v>
      </c>
      <c r="BF28" s="100">
        <f t="shared" si="8"/>
        <v>0.58720323683900166</v>
      </c>
      <c r="BG28" s="100">
        <f t="shared" si="8"/>
        <v>0.58720323683900166</v>
      </c>
      <c r="BH28" s="100">
        <f t="shared" si="8"/>
        <v>0.58720323683900166</v>
      </c>
      <c r="BI28" s="100">
        <f t="shared" si="8"/>
        <v>0.58720323683900166</v>
      </c>
      <c r="BJ28" s="100">
        <f t="shared" si="8"/>
        <v>0.58720323683900166</v>
      </c>
      <c r="BK28" s="100">
        <f t="shared" si="8"/>
        <v>0.58720323683900166</v>
      </c>
      <c r="BL28" s="100">
        <f t="shared" si="8"/>
        <v>0.58720323683900166</v>
      </c>
    </row>
    <row r="29" spans="1:64" ht="15.75">
      <c r="A29" s="28" t="s">
        <v>63</v>
      </c>
      <c r="B29" s="4" t="s">
        <v>100</v>
      </c>
      <c r="C29" s="21" t="s">
        <v>75</v>
      </c>
      <c r="D29" s="21">
        <v>384</v>
      </c>
      <c r="E29" s="32">
        <f t="shared" si="2"/>
        <v>7800</v>
      </c>
      <c r="F29" s="5" t="s">
        <v>32</v>
      </c>
      <c r="G29" s="4" t="s">
        <v>33</v>
      </c>
      <c r="H29" s="34" t="s">
        <v>69</v>
      </c>
      <c r="I29" s="4" t="s">
        <v>34</v>
      </c>
      <c r="J29" s="1" t="s">
        <v>35</v>
      </c>
      <c r="K29" s="32">
        <v>2029</v>
      </c>
      <c r="L29" s="24">
        <v>2028</v>
      </c>
      <c r="M29" s="43">
        <f t="shared" si="3"/>
        <v>2.9952000000000001</v>
      </c>
      <c r="N29" s="44">
        <f t="shared" si="3"/>
        <v>2.9952000000000001</v>
      </c>
      <c r="O29" s="44">
        <f t="shared" si="3"/>
        <v>2.9952000000000001</v>
      </c>
      <c r="P29" s="44">
        <f t="shared" si="3"/>
        <v>2.9952000000000001</v>
      </c>
      <c r="Q29" s="44">
        <f t="shared" si="3"/>
        <v>2.9952000000000001</v>
      </c>
      <c r="R29" s="44">
        <f t="shared" si="3"/>
        <v>2.9952000000000001</v>
      </c>
      <c r="S29" s="44">
        <f t="shared" si="3"/>
        <v>2.9952000000000001</v>
      </c>
      <c r="T29" s="44">
        <f t="shared" si="3"/>
        <v>2.9952000000000001</v>
      </c>
      <c r="U29" s="44">
        <f t="shared" si="3"/>
        <v>2.9952000000000001</v>
      </c>
      <c r="V29" s="44">
        <f t="shared" si="3"/>
        <v>2.9952000000000001</v>
      </c>
      <c r="W29" s="44">
        <f t="shared" si="3"/>
        <v>2.9952000000000001</v>
      </c>
      <c r="X29" s="44">
        <f t="shared" si="3"/>
        <v>2.9952000000000001</v>
      </c>
      <c r="Y29" s="44">
        <f t="shared" si="3"/>
        <v>2.9952000000000001</v>
      </c>
      <c r="Z29" s="44">
        <f t="shared" si="3"/>
        <v>2.9952000000000001</v>
      </c>
      <c r="AA29" s="44">
        <f t="shared" si="3"/>
        <v>2.9952000000000001</v>
      </c>
      <c r="AB29" s="44">
        <f t="shared" si="3"/>
        <v>2.9952000000000001</v>
      </c>
      <c r="AC29" s="44">
        <f t="shared" si="6"/>
        <v>2.9952000000000001</v>
      </c>
      <c r="AD29" s="44">
        <f t="shared" si="6"/>
        <v>2.9952000000000001</v>
      </c>
      <c r="AE29" s="44">
        <f t="shared" si="6"/>
        <v>2.9952000000000001</v>
      </c>
      <c r="AF29" s="44">
        <f t="shared" si="6"/>
        <v>2.9952000000000001</v>
      </c>
      <c r="AG29" s="44">
        <f t="shared" si="6"/>
        <v>2.9952000000000001</v>
      </c>
      <c r="AH29" s="44">
        <f t="shared" si="6"/>
        <v>2.9952000000000001</v>
      </c>
      <c r="AI29" s="44">
        <f t="shared" si="7"/>
        <v>2.9952000000000001</v>
      </c>
      <c r="AJ29" s="44">
        <f t="shared" si="7"/>
        <v>2.9952000000000001</v>
      </c>
      <c r="AK29" s="44">
        <f t="shared" si="7"/>
        <v>2.9952000000000001</v>
      </c>
      <c r="AL29" s="45">
        <f t="shared" si="7"/>
        <v>2.9952000000000001</v>
      </c>
      <c r="AM29" s="46">
        <f t="shared" si="4"/>
        <v>2.9952000000000001</v>
      </c>
      <c r="AN29" s="44">
        <f t="shared" si="4"/>
        <v>2.9952000000000001</v>
      </c>
      <c r="AO29" s="44">
        <f t="shared" si="4"/>
        <v>2.9952000000000001</v>
      </c>
      <c r="AP29" s="100">
        <f t="shared" si="9"/>
        <v>0.58720323683900166</v>
      </c>
      <c r="AQ29" s="100">
        <f t="shared" si="9"/>
        <v>0.58720323683900166</v>
      </c>
      <c r="AR29" s="100">
        <f t="shared" si="8"/>
        <v>0.58720323683900166</v>
      </c>
      <c r="AS29" s="100">
        <f t="shared" si="8"/>
        <v>0.58720323683900166</v>
      </c>
      <c r="AT29" s="100">
        <f t="shared" si="8"/>
        <v>0.58720323683900166</v>
      </c>
      <c r="AU29" s="100">
        <f t="shared" si="8"/>
        <v>0.58720323683900166</v>
      </c>
      <c r="AV29" s="100">
        <f t="shared" si="8"/>
        <v>0.58720323683900166</v>
      </c>
      <c r="AW29" s="100">
        <f t="shared" si="8"/>
        <v>0.58720323683900166</v>
      </c>
      <c r="AX29" s="100">
        <f t="shared" si="8"/>
        <v>0.58720323683900166</v>
      </c>
      <c r="AY29" s="100">
        <f t="shared" si="8"/>
        <v>0.58720323683900166</v>
      </c>
      <c r="AZ29" s="100">
        <f t="shared" si="8"/>
        <v>0.58720323683900166</v>
      </c>
      <c r="BA29" s="100">
        <f t="shared" si="8"/>
        <v>0.58720323683900166</v>
      </c>
      <c r="BB29" s="100">
        <f t="shared" si="8"/>
        <v>0.58720323683900166</v>
      </c>
      <c r="BC29" s="100">
        <f t="shared" si="8"/>
        <v>0.58720323683900166</v>
      </c>
      <c r="BD29" s="100">
        <f t="shared" si="8"/>
        <v>0.58720323683900166</v>
      </c>
      <c r="BE29" s="100">
        <f t="shared" si="8"/>
        <v>0.58720323683900166</v>
      </c>
      <c r="BF29" s="100">
        <f t="shared" si="8"/>
        <v>0.58720323683900166</v>
      </c>
      <c r="BG29" s="100">
        <f t="shared" si="8"/>
        <v>0.58720323683900166</v>
      </c>
      <c r="BH29" s="100">
        <f t="shared" si="8"/>
        <v>0.58720323683900166</v>
      </c>
      <c r="BI29" s="100">
        <f t="shared" si="8"/>
        <v>0.58720323683900166</v>
      </c>
      <c r="BJ29" s="100">
        <f t="shared" si="8"/>
        <v>0.58720323683900166</v>
      </c>
      <c r="BK29" s="100">
        <f t="shared" si="8"/>
        <v>0.58720323683900166</v>
      </c>
      <c r="BL29" s="100">
        <f t="shared" si="8"/>
        <v>0.58720323683900166</v>
      </c>
    </row>
    <row r="30" spans="1:64" ht="15.75">
      <c r="A30" s="28" t="s">
        <v>101</v>
      </c>
      <c r="B30" s="4" t="s">
        <v>102</v>
      </c>
      <c r="C30" s="21" t="s">
        <v>103</v>
      </c>
      <c r="D30" s="21">
        <v>498</v>
      </c>
      <c r="E30" s="32">
        <f t="shared" si="2"/>
        <v>7800</v>
      </c>
      <c r="F30" s="4" t="s">
        <v>104</v>
      </c>
      <c r="G30" s="4" t="s">
        <v>48</v>
      </c>
      <c r="H30" s="34">
        <v>2019</v>
      </c>
      <c r="I30" s="4" t="s">
        <v>40</v>
      </c>
      <c r="J30" s="1" t="s">
        <v>35</v>
      </c>
      <c r="K30" s="32">
        <v>2034</v>
      </c>
      <c r="L30" s="24">
        <v>2029</v>
      </c>
      <c r="M30" s="43">
        <f>($D30*$E30)/1000000</f>
        <v>3.8843999999999999</v>
      </c>
      <c r="N30" s="44">
        <f t="shared" si="3"/>
        <v>3.8843999999999999</v>
      </c>
      <c r="O30" s="44">
        <f t="shared" si="3"/>
        <v>3.8843999999999999</v>
      </c>
      <c r="P30" s="44">
        <f t="shared" si="3"/>
        <v>3.8843999999999999</v>
      </c>
      <c r="Q30" s="44">
        <f t="shared" si="3"/>
        <v>3.8843999999999999</v>
      </c>
      <c r="R30" s="44">
        <f t="shared" si="3"/>
        <v>3.8843999999999999</v>
      </c>
      <c r="S30" s="44">
        <f t="shared" si="3"/>
        <v>3.8843999999999999</v>
      </c>
      <c r="T30" s="44">
        <f t="shared" si="3"/>
        <v>3.8843999999999999</v>
      </c>
      <c r="U30" s="44">
        <f t="shared" si="3"/>
        <v>3.8843999999999999</v>
      </c>
      <c r="V30" s="44">
        <f t="shared" si="3"/>
        <v>3.8843999999999999</v>
      </c>
      <c r="W30" s="44">
        <f t="shared" si="3"/>
        <v>3.8843999999999999</v>
      </c>
      <c r="X30" s="44">
        <f t="shared" si="3"/>
        <v>3.8843999999999999</v>
      </c>
      <c r="Y30" s="44">
        <f t="shared" si="3"/>
        <v>3.8843999999999999</v>
      </c>
      <c r="Z30" s="44">
        <f t="shared" si="3"/>
        <v>3.8843999999999999</v>
      </c>
      <c r="AA30" s="44">
        <f t="shared" si="3"/>
        <v>3.8843999999999999</v>
      </c>
      <c r="AB30" s="44">
        <f t="shared" si="3"/>
        <v>3.8843999999999999</v>
      </c>
      <c r="AC30" s="44">
        <f t="shared" si="6"/>
        <v>3.8843999999999999</v>
      </c>
      <c r="AD30" s="44">
        <f t="shared" si="6"/>
        <v>3.8843999999999999</v>
      </c>
      <c r="AE30" s="44">
        <f t="shared" si="6"/>
        <v>3.8843999999999999</v>
      </c>
      <c r="AF30" s="44">
        <f t="shared" si="6"/>
        <v>3.8843999999999999</v>
      </c>
      <c r="AG30" s="44">
        <f t="shared" si="6"/>
        <v>3.8843999999999999</v>
      </c>
      <c r="AH30" s="44">
        <f t="shared" si="6"/>
        <v>3.8843999999999999</v>
      </c>
      <c r="AI30" s="44">
        <f t="shared" si="7"/>
        <v>3.8843999999999999</v>
      </c>
      <c r="AJ30" s="44">
        <f t="shared" si="7"/>
        <v>3.8843999999999999</v>
      </c>
      <c r="AK30" s="44">
        <f t="shared" si="7"/>
        <v>3.8843999999999999</v>
      </c>
      <c r="AL30" s="45">
        <f t="shared" si="7"/>
        <v>3.8843999999999999</v>
      </c>
      <c r="AM30" s="46">
        <f t="shared" si="4"/>
        <v>3.8843999999999999</v>
      </c>
      <c r="AN30" s="44">
        <f t="shared" si="4"/>
        <v>3.8843999999999999</v>
      </c>
      <c r="AO30" s="44">
        <f t="shared" si="4"/>
        <v>3.8843999999999999</v>
      </c>
      <c r="AP30" s="44">
        <f>($D30*$E30)/1000000</f>
        <v>3.8843999999999999</v>
      </c>
      <c r="AQ30" s="100">
        <f t="shared" si="9"/>
        <v>0.58720323683900166</v>
      </c>
      <c r="AR30" s="100">
        <f t="shared" si="8"/>
        <v>0.58720323683900166</v>
      </c>
      <c r="AS30" s="100">
        <f t="shared" si="8"/>
        <v>0.58720323683900166</v>
      </c>
      <c r="AT30" s="100">
        <f t="shared" si="8"/>
        <v>0.58720323683900166</v>
      </c>
      <c r="AU30" s="100">
        <f t="shared" si="8"/>
        <v>0.58720323683900166</v>
      </c>
      <c r="AV30" s="100">
        <f t="shared" si="8"/>
        <v>0.58720323683900166</v>
      </c>
      <c r="AW30" s="100">
        <f t="shared" si="8"/>
        <v>0.58720323683900166</v>
      </c>
      <c r="AX30" s="100">
        <f t="shared" si="8"/>
        <v>0.58720323683900166</v>
      </c>
      <c r="AY30" s="100">
        <f t="shared" si="8"/>
        <v>0.58720323683900166</v>
      </c>
      <c r="AZ30" s="100">
        <f t="shared" si="8"/>
        <v>0.58720323683900166</v>
      </c>
      <c r="BA30" s="100">
        <f t="shared" si="8"/>
        <v>0.58720323683900166</v>
      </c>
      <c r="BB30" s="100">
        <f t="shared" si="8"/>
        <v>0.58720323683900166</v>
      </c>
      <c r="BC30" s="100">
        <f t="shared" si="8"/>
        <v>0.58720323683900166</v>
      </c>
      <c r="BD30" s="100">
        <f t="shared" si="8"/>
        <v>0.58720323683900166</v>
      </c>
      <c r="BE30" s="100">
        <f t="shared" si="8"/>
        <v>0.58720323683900166</v>
      </c>
      <c r="BF30" s="100">
        <f t="shared" si="8"/>
        <v>0.58720323683900166</v>
      </c>
      <c r="BG30" s="100">
        <f t="shared" si="8"/>
        <v>0.58720323683900166</v>
      </c>
      <c r="BH30" s="100">
        <f t="shared" si="8"/>
        <v>0.58720323683900166</v>
      </c>
      <c r="BI30" s="100">
        <f t="shared" si="8"/>
        <v>0.58720323683900166</v>
      </c>
      <c r="BJ30" s="100">
        <f t="shared" si="8"/>
        <v>0.58720323683900166</v>
      </c>
      <c r="BK30" s="100">
        <f t="shared" si="8"/>
        <v>0.58720323683900166</v>
      </c>
      <c r="BL30" s="100">
        <f t="shared" si="8"/>
        <v>0.58720323683900166</v>
      </c>
    </row>
    <row r="31" spans="1:64" ht="15.75">
      <c r="A31" s="28" t="s">
        <v>105</v>
      </c>
      <c r="B31" s="4" t="s">
        <v>106</v>
      </c>
      <c r="C31" s="21" t="s">
        <v>107</v>
      </c>
      <c r="D31" s="21">
        <v>684</v>
      </c>
      <c r="E31" s="32">
        <f t="shared" si="2"/>
        <v>7800</v>
      </c>
      <c r="F31" s="4" t="s">
        <v>87</v>
      </c>
      <c r="G31" s="4" t="s">
        <v>48</v>
      </c>
      <c r="H31" s="35" t="s">
        <v>108</v>
      </c>
      <c r="I31" s="4" t="s">
        <v>109</v>
      </c>
      <c r="J31" s="1" t="s">
        <v>35</v>
      </c>
      <c r="K31" s="32">
        <v>2019</v>
      </c>
      <c r="L31" s="24">
        <v>2027</v>
      </c>
      <c r="M31" s="43">
        <f t="shared" si="3"/>
        <v>5.3352000000000004</v>
      </c>
      <c r="N31" s="44">
        <f t="shared" si="3"/>
        <v>5.3352000000000004</v>
      </c>
      <c r="O31" s="44">
        <f t="shared" si="3"/>
        <v>5.3352000000000004</v>
      </c>
      <c r="P31" s="44">
        <f t="shared" si="3"/>
        <v>5.3352000000000004</v>
      </c>
      <c r="Q31" s="44">
        <f t="shared" si="3"/>
        <v>5.3352000000000004</v>
      </c>
      <c r="R31" s="44">
        <f t="shared" si="3"/>
        <v>5.3352000000000004</v>
      </c>
      <c r="S31" s="44">
        <f t="shared" si="3"/>
        <v>5.3352000000000004</v>
      </c>
      <c r="T31" s="44">
        <f t="shared" si="3"/>
        <v>5.3352000000000004</v>
      </c>
      <c r="U31" s="44">
        <f t="shared" si="3"/>
        <v>5.3352000000000004</v>
      </c>
      <c r="V31" s="44">
        <f t="shared" si="3"/>
        <v>5.3352000000000004</v>
      </c>
      <c r="W31" s="44">
        <f t="shared" si="3"/>
        <v>5.3352000000000004</v>
      </c>
      <c r="X31" s="44">
        <f t="shared" si="3"/>
        <v>5.3352000000000004</v>
      </c>
      <c r="Y31" s="44">
        <f t="shared" si="3"/>
        <v>5.3352000000000004</v>
      </c>
      <c r="Z31" s="44">
        <f t="shared" si="3"/>
        <v>5.3352000000000004</v>
      </c>
      <c r="AA31" s="44">
        <f t="shared" si="3"/>
        <v>5.3352000000000004</v>
      </c>
      <c r="AB31" s="44">
        <f t="shared" si="3"/>
        <v>5.3352000000000004</v>
      </c>
      <c r="AC31" s="44">
        <f t="shared" si="6"/>
        <v>5.3352000000000004</v>
      </c>
      <c r="AD31" s="44">
        <f t="shared" si="6"/>
        <v>5.3352000000000004</v>
      </c>
      <c r="AE31" s="44">
        <f t="shared" si="6"/>
        <v>5.3352000000000004</v>
      </c>
      <c r="AF31" s="44">
        <f t="shared" si="6"/>
        <v>5.3352000000000004</v>
      </c>
      <c r="AG31" s="44">
        <f t="shared" si="6"/>
        <v>5.3352000000000004</v>
      </c>
      <c r="AH31" s="44">
        <f t="shared" si="6"/>
        <v>5.3352000000000004</v>
      </c>
      <c r="AI31" s="44">
        <f t="shared" si="7"/>
        <v>5.3352000000000004</v>
      </c>
      <c r="AJ31" s="44">
        <f t="shared" si="7"/>
        <v>5.3352000000000004</v>
      </c>
      <c r="AK31" s="44">
        <f t="shared" si="7"/>
        <v>5.3352000000000004</v>
      </c>
      <c r="AL31" s="45">
        <f t="shared" si="7"/>
        <v>5.3352000000000004</v>
      </c>
      <c r="AM31" s="46">
        <f t="shared" si="4"/>
        <v>5.3352000000000004</v>
      </c>
      <c r="AN31" s="44">
        <f t="shared" si="4"/>
        <v>5.3352000000000004</v>
      </c>
      <c r="AO31" s="16">
        <f t="shared" ref="AO31:AO32" si="10">(0*$E31)/1000000</f>
        <v>0</v>
      </c>
      <c r="AP31" s="100">
        <f t="shared" si="9"/>
        <v>0.58720323683900166</v>
      </c>
      <c r="AQ31" s="100">
        <f t="shared" si="9"/>
        <v>0.58720323683900166</v>
      </c>
      <c r="AR31" s="100">
        <f t="shared" si="8"/>
        <v>0.58720323683900166</v>
      </c>
      <c r="AS31" s="100">
        <f t="shared" si="8"/>
        <v>0.58720323683900166</v>
      </c>
      <c r="AT31" s="100">
        <f t="shared" si="8"/>
        <v>0.58720323683900166</v>
      </c>
      <c r="AU31" s="100">
        <f t="shared" si="8"/>
        <v>0.58720323683900166</v>
      </c>
      <c r="AV31" s="100">
        <f t="shared" si="8"/>
        <v>0.58720323683900166</v>
      </c>
      <c r="AW31" s="100">
        <f t="shared" si="8"/>
        <v>0.58720323683900166</v>
      </c>
      <c r="AX31" s="100">
        <f t="shared" si="8"/>
        <v>0.58720323683900166</v>
      </c>
      <c r="AY31" s="100">
        <f t="shared" si="8"/>
        <v>0.58720323683900166</v>
      </c>
      <c r="AZ31" s="100">
        <f t="shared" si="8"/>
        <v>0.58720323683900166</v>
      </c>
      <c r="BA31" s="100">
        <f t="shared" si="8"/>
        <v>0.58720323683900166</v>
      </c>
      <c r="BB31" s="100">
        <f t="shared" si="8"/>
        <v>0.58720323683900166</v>
      </c>
      <c r="BC31" s="100">
        <f t="shared" si="8"/>
        <v>0.58720323683900166</v>
      </c>
      <c r="BD31" s="100">
        <f t="shared" si="8"/>
        <v>0.58720323683900166</v>
      </c>
      <c r="BE31" s="100">
        <f t="shared" si="8"/>
        <v>0.58720323683900166</v>
      </c>
      <c r="BF31" s="100">
        <f t="shared" si="8"/>
        <v>0.58720323683900166</v>
      </c>
      <c r="BG31" s="100">
        <f t="shared" si="8"/>
        <v>0.58720323683900166</v>
      </c>
      <c r="BH31" s="100">
        <f t="shared" si="8"/>
        <v>0.58720323683900166</v>
      </c>
      <c r="BI31" s="100">
        <f t="shared" si="8"/>
        <v>0.58720323683900166</v>
      </c>
      <c r="BJ31" s="100">
        <f t="shared" si="8"/>
        <v>0.58720323683900166</v>
      </c>
      <c r="BK31" s="100">
        <f t="shared" si="8"/>
        <v>0.58720323683900166</v>
      </c>
      <c r="BL31" s="100">
        <f t="shared" si="8"/>
        <v>0.58720323683900166</v>
      </c>
    </row>
    <row r="32" spans="1:64" ht="15.75">
      <c r="A32" s="28" t="s">
        <v>101</v>
      </c>
      <c r="B32" s="4" t="s">
        <v>30</v>
      </c>
      <c r="C32" s="21" t="s">
        <v>110</v>
      </c>
      <c r="D32" s="21">
        <v>561</v>
      </c>
      <c r="E32" s="32">
        <f t="shared" si="2"/>
        <v>7800</v>
      </c>
      <c r="F32" s="4" t="s">
        <v>111</v>
      </c>
      <c r="G32" s="4" t="s">
        <v>33</v>
      </c>
      <c r="H32" s="34">
        <v>2007</v>
      </c>
      <c r="I32" s="4" t="s">
        <v>112</v>
      </c>
      <c r="J32" s="1" t="s">
        <v>35</v>
      </c>
      <c r="K32" s="32">
        <v>2022</v>
      </c>
      <c r="L32" s="24">
        <v>2027</v>
      </c>
      <c r="M32" s="43">
        <f t="shared" si="3"/>
        <v>4.3757999999999999</v>
      </c>
      <c r="N32" s="44">
        <f t="shared" si="3"/>
        <v>4.3757999999999999</v>
      </c>
      <c r="O32" s="44">
        <f t="shared" si="3"/>
        <v>4.3757999999999999</v>
      </c>
      <c r="P32" s="44">
        <f t="shared" si="3"/>
        <v>4.3757999999999999</v>
      </c>
      <c r="Q32" s="44">
        <f t="shared" si="3"/>
        <v>4.3757999999999999</v>
      </c>
      <c r="R32" s="44">
        <f t="shared" si="3"/>
        <v>4.3757999999999999</v>
      </c>
      <c r="S32" s="44">
        <f t="shared" si="3"/>
        <v>4.3757999999999999</v>
      </c>
      <c r="T32" s="44">
        <f t="shared" si="3"/>
        <v>4.3757999999999999</v>
      </c>
      <c r="U32" s="44">
        <f t="shared" si="3"/>
        <v>4.3757999999999999</v>
      </c>
      <c r="V32" s="44">
        <f t="shared" si="3"/>
        <v>4.3757999999999999</v>
      </c>
      <c r="W32" s="44">
        <f t="shared" si="3"/>
        <v>4.3757999999999999</v>
      </c>
      <c r="X32" s="44">
        <f t="shared" si="3"/>
        <v>4.3757999999999999</v>
      </c>
      <c r="Y32" s="44">
        <f t="shared" si="3"/>
        <v>4.3757999999999999</v>
      </c>
      <c r="Z32" s="44">
        <f t="shared" si="3"/>
        <v>4.3757999999999999</v>
      </c>
      <c r="AA32" s="44">
        <f t="shared" si="3"/>
        <v>4.3757999999999999</v>
      </c>
      <c r="AB32" s="44">
        <f t="shared" si="3"/>
        <v>4.3757999999999999</v>
      </c>
      <c r="AC32" s="44">
        <f t="shared" si="6"/>
        <v>4.3757999999999999</v>
      </c>
      <c r="AD32" s="44">
        <f t="shared" si="6"/>
        <v>4.3757999999999999</v>
      </c>
      <c r="AE32" s="44">
        <f t="shared" si="6"/>
        <v>4.3757999999999999</v>
      </c>
      <c r="AF32" s="44">
        <f t="shared" si="6"/>
        <v>4.3757999999999999</v>
      </c>
      <c r="AG32" s="44">
        <f t="shared" si="6"/>
        <v>4.3757999999999999</v>
      </c>
      <c r="AH32" s="44">
        <f t="shared" si="6"/>
        <v>4.3757999999999999</v>
      </c>
      <c r="AI32" s="44">
        <f t="shared" si="7"/>
        <v>4.3757999999999999</v>
      </c>
      <c r="AJ32" s="44">
        <f t="shared" si="7"/>
        <v>4.3757999999999999</v>
      </c>
      <c r="AK32" s="44">
        <f t="shared" si="7"/>
        <v>4.3757999999999999</v>
      </c>
      <c r="AL32" s="45">
        <f t="shared" si="7"/>
        <v>4.3757999999999999</v>
      </c>
      <c r="AM32" s="46">
        <f t="shared" si="4"/>
        <v>4.3757999999999999</v>
      </c>
      <c r="AN32" s="44">
        <f t="shared" si="4"/>
        <v>4.3757999999999999</v>
      </c>
      <c r="AO32" s="16">
        <f t="shared" si="10"/>
        <v>0</v>
      </c>
      <c r="AP32" s="100">
        <f t="shared" si="9"/>
        <v>0.58720323683900166</v>
      </c>
      <c r="AQ32" s="100">
        <f t="shared" si="9"/>
        <v>0.58720323683900166</v>
      </c>
      <c r="AR32" s="100">
        <f t="shared" si="8"/>
        <v>0.58720323683900166</v>
      </c>
      <c r="AS32" s="100">
        <f t="shared" si="8"/>
        <v>0.58720323683900166</v>
      </c>
      <c r="AT32" s="100">
        <f t="shared" si="8"/>
        <v>0.58720323683900166</v>
      </c>
      <c r="AU32" s="100">
        <f t="shared" si="8"/>
        <v>0.58720323683900166</v>
      </c>
      <c r="AV32" s="100">
        <f t="shared" si="8"/>
        <v>0.58720323683900166</v>
      </c>
      <c r="AW32" s="100">
        <f t="shared" si="8"/>
        <v>0.58720323683900166</v>
      </c>
      <c r="AX32" s="100">
        <f t="shared" si="8"/>
        <v>0.58720323683900166</v>
      </c>
      <c r="AY32" s="100">
        <f t="shared" si="8"/>
        <v>0.58720323683900166</v>
      </c>
      <c r="AZ32" s="100">
        <f t="shared" si="8"/>
        <v>0.58720323683900166</v>
      </c>
      <c r="BA32" s="100">
        <f t="shared" si="8"/>
        <v>0.58720323683900166</v>
      </c>
      <c r="BB32" s="100">
        <f t="shared" si="8"/>
        <v>0.58720323683900166</v>
      </c>
      <c r="BC32" s="100">
        <f t="shared" si="8"/>
        <v>0.58720323683900166</v>
      </c>
      <c r="BD32" s="100">
        <f t="shared" si="8"/>
        <v>0.58720323683900166</v>
      </c>
      <c r="BE32" s="100">
        <f t="shared" si="8"/>
        <v>0.58720323683900166</v>
      </c>
      <c r="BF32" s="100">
        <f t="shared" si="8"/>
        <v>0.58720323683900166</v>
      </c>
      <c r="BG32" s="100">
        <f t="shared" si="8"/>
        <v>0.58720323683900166</v>
      </c>
      <c r="BH32" s="100">
        <f t="shared" si="8"/>
        <v>0.58720323683900166</v>
      </c>
      <c r="BI32" s="100">
        <f t="shared" si="8"/>
        <v>0.58720323683900166</v>
      </c>
      <c r="BJ32" s="100">
        <f t="shared" si="8"/>
        <v>0.58720323683900166</v>
      </c>
      <c r="BK32" s="100">
        <f t="shared" si="8"/>
        <v>0.58720323683900166</v>
      </c>
      <c r="BL32" s="100">
        <f t="shared" si="8"/>
        <v>0.58720323683900166</v>
      </c>
    </row>
    <row r="33" spans="1:64" ht="16.5" thickBot="1">
      <c r="A33" s="28" t="s">
        <v>113</v>
      </c>
      <c r="B33" s="4" t="s">
        <v>114</v>
      </c>
      <c r="C33" s="21" t="s">
        <v>115</v>
      </c>
      <c r="D33" s="21">
        <v>687</v>
      </c>
      <c r="E33" s="32">
        <f t="shared" si="2"/>
        <v>7800</v>
      </c>
      <c r="F33" s="4" t="s">
        <v>32</v>
      </c>
      <c r="G33" s="4" t="s">
        <v>33</v>
      </c>
      <c r="H33" s="34">
        <v>2013</v>
      </c>
      <c r="I33" s="4"/>
      <c r="J33" s="1"/>
      <c r="K33" s="32">
        <v>2028</v>
      </c>
      <c r="L33" s="24">
        <v>2029</v>
      </c>
      <c r="M33" s="43">
        <f t="shared" si="3"/>
        <v>5.3586</v>
      </c>
      <c r="N33" s="44">
        <f t="shared" si="3"/>
        <v>5.3586</v>
      </c>
      <c r="O33" s="44">
        <f t="shared" si="3"/>
        <v>5.3586</v>
      </c>
      <c r="P33" s="44">
        <f t="shared" si="3"/>
        <v>5.3586</v>
      </c>
      <c r="Q33" s="44">
        <f t="shared" si="3"/>
        <v>5.3586</v>
      </c>
      <c r="R33" s="44">
        <f t="shared" si="3"/>
        <v>5.3586</v>
      </c>
      <c r="S33" s="44">
        <f t="shared" si="3"/>
        <v>5.3586</v>
      </c>
      <c r="T33" s="44">
        <f t="shared" si="3"/>
        <v>5.3586</v>
      </c>
      <c r="U33" s="44">
        <f t="shared" si="3"/>
        <v>5.3586</v>
      </c>
      <c r="V33" s="44">
        <f t="shared" si="3"/>
        <v>5.3586</v>
      </c>
      <c r="W33" s="44">
        <f t="shared" si="3"/>
        <v>5.3586</v>
      </c>
      <c r="X33" s="44">
        <f t="shared" si="3"/>
        <v>5.3586</v>
      </c>
      <c r="Y33" s="44">
        <f t="shared" si="3"/>
        <v>5.3586</v>
      </c>
      <c r="Z33" s="44">
        <f t="shared" si="3"/>
        <v>5.3586</v>
      </c>
      <c r="AA33" s="44">
        <f t="shared" si="3"/>
        <v>5.3586</v>
      </c>
      <c r="AB33" s="44">
        <f t="shared" si="3"/>
        <v>5.3586</v>
      </c>
      <c r="AC33" s="44">
        <f t="shared" si="6"/>
        <v>5.3586</v>
      </c>
      <c r="AD33" s="44">
        <f t="shared" si="6"/>
        <v>5.3586</v>
      </c>
      <c r="AE33" s="44">
        <f t="shared" si="6"/>
        <v>5.3586</v>
      </c>
      <c r="AF33" s="44">
        <f t="shared" si="6"/>
        <v>5.3586</v>
      </c>
      <c r="AG33" s="44">
        <f t="shared" si="6"/>
        <v>5.3586</v>
      </c>
      <c r="AH33" s="44">
        <f t="shared" si="6"/>
        <v>5.3586</v>
      </c>
      <c r="AI33" s="44">
        <f t="shared" si="7"/>
        <v>5.3586</v>
      </c>
      <c r="AJ33" s="44">
        <f t="shared" si="7"/>
        <v>5.3586</v>
      </c>
      <c r="AK33" s="44">
        <f t="shared" si="7"/>
        <v>5.3586</v>
      </c>
      <c r="AL33" s="45">
        <f t="shared" si="7"/>
        <v>5.3586</v>
      </c>
      <c r="AM33" s="46">
        <f t="shared" si="4"/>
        <v>5.3586</v>
      </c>
      <c r="AN33" s="44">
        <f t="shared" si="4"/>
        <v>5.3586</v>
      </c>
      <c r="AO33" s="44">
        <f t="shared" si="4"/>
        <v>5.3586</v>
      </c>
      <c r="AP33" s="44">
        <f t="shared" si="4"/>
        <v>5.3586</v>
      </c>
      <c r="AQ33" s="100">
        <f t="shared" si="9"/>
        <v>0.58720323683900166</v>
      </c>
      <c r="AR33" s="100">
        <f t="shared" si="8"/>
        <v>0.58720323683900166</v>
      </c>
      <c r="AS33" s="100">
        <f t="shared" si="8"/>
        <v>0.58720323683900166</v>
      </c>
      <c r="AT33" s="100">
        <f t="shared" si="8"/>
        <v>0.58720323683900166</v>
      </c>
      <c r="AU33" s="100">
        <f t="shared" si="8"/>
        <v>0.58720323683900166</v>
      </c>
      <c r="AV33" s="100">
        <f t="shared" si="8"/>
        <v>0.58720323683900166</v>
      </c>
      <c r="AW33" s="100">
        <f t="shared" si="8"/>
        <v>0.58720323683900166</v>
      </c>
      <c r="AX33" s="100">
        <f t="shared" si="8"/>
        <v>0.58720323683900166</v>
      </c>
      <c r="AY33" s="100">
        <f t="shared" si="8"/>
        <v>0.58720323683900166</v>
      </c>
      <c r="AZ33" s="100">
        <f t="shared" si="8"/>
        <v>0.58720323683900166</v>
      </c>
      <c r="BA33" s="100">
        <f t="shared" si="8"/>
        <v>0.58720323683900166</v>
      </c>
      <c r="BB33" s="100">
        <f t="shared" si="8"/>
        <v>0.58720323683900166</v>
      </c>
      <c r="BC33" s="100">
        <f t="shared" si="8"/>
        <v>0.58720323683900166</v>
      </c>
      <c r="BD33" s="100">
        <f t="shared" si="8"/>
        <v>0.58720323683900166</v>
      </c>
      <c r="BE33" s="100">
        <f t="shared" si="8"/>
        <v>0.58720323683900166</v>
      </c>
      <c r="BF33" s="100">
        <f t="shared" si="8"/>
        <v>0.58720323683900166</v>
      </c>
      <c r="BG33" s="100">
        <f t="shared" si="8"/>
        <v>0.58720323683900166</v>
      </c>
      <c r="BH33" s="100">
        <f t="shared" si="8"/>
        <v>0.58720323683900166</v>
      </c>
      <c r="BI33" s="100">
        <f t="shared" si="8"/>
        <v>0.58720323683900166</v>
      </c>
      <c r="BJ33" s="100">
        <f t="shared" si="8"/>
        <v>0.58720323683900166</v>
      </c>
      <c r="BK33" s="100">
        <f t="shared" si="8"/>
        <v>0.58720323683900166</v>
      </c>
      <c r="BL33" s="100">
        <f t="shared" si="8"/>
        <v>0.58720323683900166</v>
      </c>
    </row>
    <row r="34" spans="1:64" ht="16.5" thickBot="1">
      <c r="A34" s="3"/>
      <c r="B34" s="3"/>
      <c r="C34" s="3"/>
      <c r="D34" s="3"/>
      <c r="E34" s="3"/>
      <c r="F34" s="3"/>
      <c r="G34" s="3"/>
      <c r="H34" s="3"/>
      <c r="I34" s="3"/>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f t="shared" si="9"/>
        <v>0</v>
      </c>
      <c r="AR34" s="38">
        <f t="shared" si="8"/>
        <v>0</v>
      </c>
      <c r="AS34" s="38">
        <f t="shared" si="8"/>
        <v>0</v>
      </c>
      <c r="AT34" s="38">
        <f t="shared" si="8"/>
        <v>0</v>
      </c>
      <c r="AU34" s="38">
        <f t="shared" si="8"/>
        <v>0</v>
      </c>
      <c r="AV34" s="38">
        <f t="shared" si="8"/>
        <v>0</v>
      </c>
      <c r="AW34" s="38">
        <f t="shared" si="8"/>
        <v>0</v>
      </c>
      <c r="AX34" s="38">
        <f t="shared" si="8"/>
        <v>0</v>
      </c>
      <c r="AY34" s="38">
        <f t="shared" si="8"/>
        <v>0</v>
      </c>
      <c r="AZ34" s="38">
        <f t="shared" si="8"/>
        <v>0</v>
      </c>
      <c r="BA34" s="38">
        <f t="shared" si="8"/>
        <v>0</v>
      </c>
      <c r="BB34" s="38">
        <f t="shared" si="8"/>
        <v>0</v>
      </c>
      <c r="BC34" s="38">
        <f t="shared" si="8"/>
        <v>0</v>
      </c>
      <c r="BD34" s="38">
        <f t="shared" si="8"/>
        <v>0</v>
      </c>
      <c r="BE34" s="38">
        <f t="shared" si="8"/>
        <v>0</v>
      </c>
      <c r="BF34" s="38">
        <f t="shared" si="8"/>
        <v>0</v>
      </c>
      <c r="BG34" s="38">
        <f t="shared" si="8"/>
        <v>0</v>
      </c>
      <c r="BH34" s="38">
        <f t="shared" si="8"/>
        <v>0</v>
      </c>
      <c r="BI34" s="38">
        <f t="shared" si="8"/>
        <v>0</v>
      </c>
      <c r="BJ34" s="38">
        <f t="shared" si="8"/>
        <v>0</v>
      </c>
      <c r="BK34" s="38">
        <f t="shared" si="8"/>
        <v>0</v>
      </c>
      <c r="BL34" s="38">
        <f t="shared" si="8"/>
        <v>0</v>
      </c>
    </row>
    <row r="35" spans="1:64" ht="16.5" thickBot="1">
      <c r="A35" s="3"/>
      <c r="B35" s="3"/>
      <c r="C35" s="3"/>
      <c r="D35" s="3"/>
      <c r="E35" s="3"/>
      <c r="F35" s="3"/>
      <c r="G35" s="3"/>
      <c r="H35" s="3"/>
      <c r="I35" s="3"/>
      <c r="M35" s="47">
        <f t="shared" ref="M35:AP35" si="11">SUM(M10:M33)</f>
        <v>77.711399999999969</v>
      </c>
      <c r="N35" s="47">
        <f t="shared" si="11"/>
        <v>77.711399999999969</v>
      </c>
      <c r="O35" s="47">
        <f t="shared" si="11"/>
        <v>77.711399999999969</v>
      </c>
      <c r="P35" s="47">
        <f t="shared" si="11"/>
        <v>77.711399999999969</v>
      </c>
      <c r="Q35" s="47">
        <f t="shared" si="11"/>
        <v>77.711399999999969</v>
      </c>
      <c r="R35" s="47">
        <f t="shared" si="11"/>
        <v>77.711399999999969</v>
      </c>
      <c r="S35" s="47">
        <f t="shared" si="11"/>
        <v>77.711399999999969</v>
      </c>
      <c r="T35" s="47">
        <f t="shared" si="11"/>
        <v>77.711399999999969</v>
      </c>
      <c r="U35" s="47">
        <f t="shared" si="11"/>
        <v>77.711399999999969</v>
      </c>
      <c r="V35" s="47">
        <f t="shared" si="11"/>
        <v>77.711399999999969</v>
      </c>
      <c r="W35" s="47">
        <f t="shared" si="11"/>
        <v>77.711399999999969</v>
      </c>
      <c r="X35" s="47">
        <f t="shared" si="11"/>
        <v>77.711399999999969</v>
      </c>
      <c r="Y35" s="47">
        <f t="shared" si="11"/>
        <v>77.711399999999969</v>
      </c>
      <c r="Z35" s="47">
        <f t="shared" si="11"/>
        <v>77.711399999999969</v>
      </c>
      <c r="AA35" s="47">
        <f t="shared" si="11"/>
        <v>77.711399999999969</v>
      </c>
      <c r="AB35" s="47">
        <f t="shared" si="11"/>
        <v>77.711399999999969</v>
      </c>
      <c r="AC35" s="47">
        <f t="shared" si="11"/>
        <v>77.711399999999969</v>
      </c>
      <c r="AD35" s="47">
        <f t="shared" si="11"/>
        <v>77.711399999999969</v>
      </c>
      <c r="AE35" s="47">
        <f t="shared" si="11"/>
        <v>77.711399999999969</v>
      </c>
      <c r="AF35" s="47">
        <f t="shared" si="11"/>
        <v>77.711399999999969</v>
      </c>
      <c r="AG35" s="47">
        <f t="shared" si="11"/>
        <v>77.711399999999969</v>
      </c>
      <c r="AH35" s="47">
        <f t="shared" si="11"/>
        <v>77.711399999999969</v>
      </c>
      <c r="AI35" s="47">
        <f t="shared" si="11"/>
        <v>77.711399999999969</v>
      </c>
      <c r="AJ35" s="47">
        <f t="shared" si="11"/>
        <v>77.711399999999969</v>
      </c>
      <c r="AK35" s="47">
        <f t="shared" si="11"/>
        <v>77.711399999999969</v>
      </c>
      <c r="AL35" s="47">
        <f t="shared" si="11"/>
        <v>77.711399999999969</v>
      </c>
      <c r="AM35" s="47">
        <f t="shared" si="11"/>
        <v>77.711399999999969</v>
      </c>
      <c r="AN35" s="47">
        <f t="shared" si="11"/>
        <v>77.711399999999969</v>
      </c>
      <c r="AO35" s="47">
        <f t="shared" si="11"/>
        <v>49.904222657873007</v>
      </c>
      <c r="AP35" s="47">
        <f t="shared" si="11"/>
        <v>30.96665826310203</v>
      </c>
      <c r="AQ35" s="36">
        <f t="shared" ref="AQ35:BL35" si="12">SUM(AQ10:AQ34)</f>
        <v>14.092877684136045</v>
      </c>
      <c r="AR35" s="36">
        <f t="shared" si="12"/>
        <v>14.092877684136045</v>
      </c>
      <c r="AS35" s="36">
        <f t="shared" si="12"/>
        <v>14.092877684136045</v>
      </c>
      <c r="AT35" s="36">
        <f t="shared" si="12"/>
        <v>14.092877684136045</v>
      </c>
      <c r="AU35" s="36">
        <f t="shared" si="12"/>
        <v>14.092877684136045</v>
      </c>
      <c r="AV35" s="36">
        <f t="shared" si="12"/>
        <v>14.092877684136045</v>
      </c>
      <c r="AW35" s="36">
        <f t="shared" si="12"/>
        <v>14.092877684136045</v>
      </c>
      <c r="AX35" s="36">
        <f t="shared" si="12"/>
        <v>14.092877684136045</v>
      </c>
      <c r="AY35" s="36">
        <f t="shared" si="12"/>
        <v>14.092877684136045</v>
      </c>
      <c r="AZ35" s="36">
        <f t="shared" si="12"/>
        <v>14.092877684136045</v>
      </c>
      <c r="BA35" s="36">
        <f t="shared" si="12"/>
        <v>14.092877684136045</v>
      </c>
      <c r="BB35" s="36">
        <f t="shared" si="12"/>
        <v>14.092877684136045</v>
      </c>
      <c r="BC35" s="36">
        <f t="shared" si="12"/>
        <v>14.092877684136045</v>
      </c>
      <c r="BD35" s="36">
        <f t="shared" si="12"/>
        <v>14.092877684136045</v>
      </c>
      <c r="BE35" s="36">
        <f t="shared" si="12"/>
        <v>14.092877684136045</v>
      </c>
      <c r="BF35" s="36">
        <f t="shared" si="12"/>
        <v>14.092877684136045</v>
      </c>
      <c r="BG35" s="36">
        <f t="shared" si="12"/>
        <v>14.092877684136045</v>
      </c>
      <c r="BH35" s="36">
        <f t="shared" si="12"/>
        <v>14.092877684136045</v>
      </c>
      <c r="BI35" s="36">
        <f t="shared" si="12"/>
        <v>14.092877684136045</v>
      </c>
      <c r="BJ35" s="36">
        <f t="shared" si="12"/>
        <v>14.092877684136045</v>
      </c>
      <c r="BK35" s="36">
        <f t="shared" si="12"/>
        <v>14.092877684136045</v>
      </c>
      <c r="BL35" s="37">
        <f t="shared" si="12"/>
        <v>14.092877684136045</v>
      </c>
    </row>
    <row r="38" spans="1:64">
      <c r="A38" t="s">
        <v>116</v>
      </c>
      <c r="AK38" s="101"/>
      <c r="AM38" s="101"/>
    </row>
    <row r="39" spans="1:64">
      <c r="A39" t="s">
        <v>117</v>
      </c>
    </row>
  </sheetData>
  <mergeCells count="2">
    <mergeCell ref="M8:AL8"/>
    <mergeCell ref="AM8:BL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55CBB-E1DD-4A8A-AB19-46AC706FE2D9}">
  <dimension ref="B1:AB53"/>
  <sheetViews>
    <sheetView zoomScale="115" zoomScaleNormal="115" workbookViewId="0">
      <selection activeCell="C35" sqref="C35:Z35"/>
    </sheetView>
  </sheetViews>
  <sheetFormatPr defaultRowHeight="15"/>
  <cols>
    <col min="1" max="1" width="3.7109375" customWidth="1"/>
    <col min="2" max="2" width="11.140625" customWidth="1"/>
    <col min="3" max="3" width="13.5703125" customWidth="1"/>
    <col min="4" max="5" width="8.7109375" customWidth="1"/>
    <col min="6" max="6" width="9.42578125" customWidth="1"/>
    <col min="7" max="9" width="8.7109375" customWidth="1"/>
    <col min="10" max="10" width="9.5703125" customWidth="1"/>
    <col min="11" max="22" width="8.7109375" customWidth="1"/>
    <col min="23" max="23" width="13.42578125" customWidth="1"/>
    <col min="24" max="27" width="8.7109375" customWidth="1"/>
    <col min="28" max="28" width="12.42578125" customWidth="1"/>
    <col min="29" max="31" width="8.7109375" customWidth="1"/>
  </cols>
  <sheetData>
    <row r="1" spans="2:17" ht="15.75" thickBot="1"/>
    <row r="2" spans="2:17" ht="15.75" thickBot="1">
      <c r="B2" s="150" t="s">
        <v>118</v>
      </c>
      <c r="C2" s="151"/>
      <c r="D2" s="151"/>
      <c r="E2" s="151"/>
      <c r="F2" s="151"/>
      <c r="G2" s="151"/>
      <c r="H2" s="151"/>
      <c r="I2" s="151"/>
      <c r="J2" s="152"/>
      <c r="M2" s="150" t="s">
        <v>119</v>
      </c>
      <c r="N2" s="151"/>
      <c r="O2" s="151"/>
      <c r="P2" s="151"/>
      <c r="Q2" s="152"/>
    </row>
    <row r="3" spans="2:17">
      <c r="B3" s="81" t="s">
        <v>120</v>
      </c>
      <c r="C3" s="15" t="s">
        <v>121</v>
      </c>
      <c r="D3" s="83" t="s">
        <v>122</v>
      </c>
      <c r="F3" s="90" t="s">
        <v>123</v>
      </c>
      <c r="G3" s="86">
        <v>2026</v>
      </c>
      <c r="H3" s="76"/>
      <c r="I3" s="76"/>
      <c r="J3" s="77"/>
      <c r="M3" s="81" t="s">
        <v>124</v>
      </c>
      <c r="N3" s="82"/>
      <c r="O3" s="148">
        <f>SUM(C35:G35)</f>
        <v>1204.7303339461687</v>
      </c>
      <c r="P3" s="148"/>
      <c r="Q3" s="83" t="s">
        <v>125</v>
      </c>
    </row>
    <row r="4" spans="2:17" ht="15.75" thickBot="1">
      <c r="B4" s="84" t="s">
        <v>126</v>
      </c>
      <c r="C4" s="89">
        <v>40484</v>
      </c>
      <c r="D4" s="85">
        <f>C4/1000</f>
        <v>40.484000000000002</v>
      </c>
      <c r="F4" s="91" t="s">
        <v>127</v>
      </c>
      <c r="G4">
        <v>898.8</v>
      </c>
      <c r="H4" t="s">
        <v>128</v>
      </c>
      <c r="J4" s="85"/>
      <c r="M4" s="78" t="s">
        <v>129</v>
      </c>
      <c r="N4" s="79"/>
      <c r="O4" s="149">
        <f>SUM(I35:AA35)</f>
        <v>4290.6811875014955</v>
      </c>
      <c r="P4" s="149"/>
      <c r="Q4" s="80" t="s">
        <v>125</v>
      </c>
    </row>
    <row r="5" spans="2:17">
      <c r="B5" s="84" t="s">
        <v>130</v>
      </c>
      <c r="C5" s="89">
        <v>51824</v>
      </c>
      <c r="D5" s="85">
        <f t="shared" ref="D5:D15" si="0">C5/1000</f>
        <v>51.823999999999998</v>
      </c>
      <c r="F5" s="91" t="s">
        <v>131</v>
      </c>
      <c r="G5">
        <v>25</v>
      </c>
      <c r="H5" t="s">
        <v>132</v>
      </c>
      <c r="J5" s="85"/>
    </row>
    <row r="6" spans="2:17">
      <c r="B6" s="84" t="s">
        <v>133</v>
      </c>
      <c r="C6" s="89">
        <v>84349</v>
      </c>
      <c r="D6" s="85">
        <f t="shared" si="0"/>
        <v>84.349000000000004</v>
      </c>
      <c r="F6" s="91" t="s">
        <v>134</v>
      </c>
      <c r="G6">
        <v>10</v>
      </c>
      <c r="H6" t="s">
        <v>132</v>
      </c>
      <c r="J6" s="85"/>
    </row>
    <row r="7" spans="2:17">
      <c r="B7" s="84" t="s">
        <v>135</v>
      </c>
      <c r="C7" s="89">
        <v>99568</v>
      </c>
      <c r="D7" s="85">
        <f t="shared" si="0"/>
        <v>99.567999999999998</v>
      </c>
      <c r="F7" s="91" t="s">
        <v>136</v>
      </c>
      <c r="G7">
        <v>1344</v>
      </c>
      <c r="J7" s="85"/>
    </row>
    <row r="8" spans="2:17">
      <c r="B8" s="84" t="s">
        <v>137</v>
      </c>
      <c r="C8" s="89">
        <v>118566</v>
      </c>
      <c r="D8" s="85">
        <f t="shared" si="0"/>
        <v>118.566</v>
      </c>
      <c r="F8" s="91" t="s">
        <v>138</v>
      </c>
      <c r="G8">
        <v>0.09</v>
      </c>
      <c r="H8" t="s">
        <v>139</v>
      </c>
      <c r="J8" s="85"/>
    </row>
    <row r="9" spans="2:17">
      <c r="B9" s="84" t="s">
        <v>140</v>
      </c>
      <c r="C9" s="89">
        <v>126623</v>
      </c>
      <c r="D9" s="85">
        <f t="shared" si="0"/>
        <v>126.623</v>
      </c>
      <c r="F9" s="91" t="s">
        <v>141</v>
      </c>
      <c r="G9" s="87">
        <v>0</v>
      </c>
      <c r="H9" t="s">
        <v>142</v>
      </c>
      <c r="J9" s="85"/>
    </row>
    <row r="10" spans="2:17">
      <c r="B10" s="84" t="s">
        <v>143</v>
      </c>
      <c r="C10" s="89">
        <v>128414</v>
      </c>
      <c r="D10" s="85">
        <f t="shared" si="0"/>
        <v>128.41399999999999</v>
      </c>
      <c r="F10" s="91" t="s">
        <v>144</v>
      </c>
      <c r="G10">
        <v>20</v>
      </c>
      <c r="H10" t="s">
        <v>145</v>
      </c>
      <c r="J10" s="85"/>
    </row>
    <row r="11" spans="2:17">
      <c r="B11" s="84" t="s">
        <v>146</v>
      </c>
      <c r="C11" s="89">
        <v>113394</v>
      </c>
      <c r="D11" s="85">
        <f t="shared" si="0"/>
        <v>113.39400000000001</v>
      </c>
      <c r="F11" s="91" t="s">
        <v>147</v>
      </c>
      <c r="G11" s="88">
        <v>0.5</v>
      </c>
      <c r="H11" t="s">
        <v>142</v>
      </c>
      <c r="J11" s="85"/>
    </row>
    <row r="12" spans="2:17">
      <c r="B12" s="84" t="s">
        <v>148</v>
      </c>
      <c r="C12" s="89">
        <v>90417</v>
      </c>
      <c r="D12" s="85">
        <f t="shared" si="0"/>
        <v>90.417000000000002</v>
      </c>
      <c r="F12" s="91" t="s">
        <v>11</v>
      </c>
      <c r="G12">
        <v>539.4</v>
      </c>
      <c r="H12" t="s">
        <v>12</v>
      </c>
      <c r="J12" s="85"/>
    </row>
    <row r="13" spans="2:17">
      <c r="B13" s="84" t="s">
        <v>149</v>
      </c>
      <c r="C13" s="89">
        <v>63660</v>
      </c>
      <c r="D13" s="85">
        <f t="shared" si="0"/>
        <v>63.66</v>
      </c>
      <c r="F13" s="91"/>
      <c r="J13" s="85"/>
    </row>
    <row r="14" spans="2:17">
      <c r="B14" s="84" t="s">
        <v>150</v>
      </c>
      <c r="C14" s="89">
        <v>43766</v>
      </c>
      <c r="D14" s="85">
        <f t="shared" si="0"/>
        <v>43.765999999999998</v>
      </c>
      <c r="F14" s="91"/>
      <c r="J14" s="85"/>
    </row>
    <row r="15" spans="2:17">
      <c r="B15" s="84" t="s">
        <v>151</v>
      </c>
      <c r="C15" s="89">
        <v>33620</v>
      </c>
      <c r="D15" s="85">
        <f t="shared" si="0"/>
        <v>33.619999999999997</v>
      </c>
      <c r="F15" s="91"/>
      <c r="J15" s="85"/>
    </row>
    <row r="16" spans="2:17" ht="15.75" thickBot="1">
      <c r="B16" s="78" t="s">
        <v>152</v>
      </c>
      <c r="C16" s="137">
        <f>SUM(C4:C15)</f>
        <v>994685</v>
      </c>
      <c r="D16" s="80">
        <f>SUM(D4:D15)</f>
        <v>994.68499999999995</v>
      </c>
      <c r="F16" s="92"/>
      <c r="G16" s="79"/>
      <c r="H16" s="79"/>
      <c r="I16" s="79"/>
      <c r="J16" s="80"/>
    </row>
    <row r="19" spans="2:28" ht="15.75" thickBot="1">
      <c r="B19" s="49"/>
      <c r="C19" s="153" t="s">
        <v>153</v>
      </c>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2:28" ht="15.75" thickBot="1">
      <c r="B20" s="49"/>
      <c r="C20" s="72">
        <v>2027</v>
      </c>
      <c r="D20" s="73">
        <f>C20+1</f>
        <v>2028</v>
      </c>
      <c r="E20" s="74">
        <f t="shared" ref="E20:V20" si="1">D20+1</f>
        <v>2029</v>
      </c>
      <c r="F20" s="73">
        <f t="shared" si="1"/>
        <v>2030</v>
      </c>
      <c r="G20" s="74">
        <f t="shared" si="1"/>
        <v>2031</v>
      </c>
      <c r="H20" s="73">
        <f t="shared" si="1"/>
        <v>2032</v>
      </c>
      <c r="I20" s="74">
        <f t="shared" si="1"/>
        <v>2033</v>
      </c>
      <c r="J20" s="73">
        <f t="shared" si="1"/>
        <v>2034</v>
      </c>
      <c r="K20" s="74">
        <f t="shared" si="1"/>
        <v>2035</v>
      </c>
      <c r="L20" s="73">
        <f t="shared" si="1"/>
        <v>2036</v>
      </c>
      <c r="M20" s="74">
        <f t="shared" si="1"/>
        <v>2037</v>
      </c>
      <c r="N20" s="73">
        <f t="shared" si="1"/>
        <v>2038</v>
      </c>
      <c r="O20" s="74">
        <f t="shared" si="1"/>
        <v>2039</v>
      </c>
      <c r="P20" s="73">
        <f t="shared" si="1"/>
        <v>2040</v>
      </c>
      <c r="Q20" s="74">
        <f t="shared" si="1"/>
        <v>2041</v>
      </c>
      <c r="R20" s="73">
        <f t="shared" si="1"/>
        <v>2042</v>
      </c>
      <c r="S20" s="74">
        <f t="shared" si="1"/>
        <v>2043</v>
      </c>
      <c r="T20" s="73">
        <f t="shared" si="1"/>
        <v>2044</v>
      </c>
      <c r="U20" s="73">
        <f t="shared" si="1"/>
        <v>2045</v>
      </c>
      <c r="V20" s="75">
        <f t="shared" si="1"/>
        <v>2046</v>
      </c>
      <c r="W20" s="75">
        <f t="shared" ref="W20" si="2">V20+1</f>
        <v>2047</v>
      </c>
      <c r="X20" s="75">
        <f t="shared" ref="X20" si="3">W20+1</f>
        <v>2048</v>
      </c>
      <c r="Y20" s="75">
        <f t="shared" ref="Y20" si="4">X20+1</f>
        <v>2049</v>
      </c>
      <c r="Z20" s="75">
        <f t="shared" ref="Z20" si="5">Y20+1</f>
        <v>2050</v>
      </c>
      <c r="AA20" s="75">
        <f t="shared" ref="AA20" si="6">Z20+1</f>
        <v>2051</v>
      </c>
      <c r="AB20" s="138" t="s">
        <v>154</v>
      </c>
    </row>
    <row r="21" spans="2:28">
      <c r="B21" s="68" t="s">
        <v>126</v>
      </c>
      <c r="C21" s="52">
        <f>D4</f>
        <v>40.484000000000002</v>
      </c>
      <c r="D21" s="61">
        <f>C21*(1-($G$11/100))</f>
        <v>40.281579999999998</v>
      </c>
      <c r="E21" s="53">
        <f t="shared" ref="E21:V32" si="7">D21*(1-($G$11/100))</f>
        <v>40.080172099999999</v>
      </c>
      <c r="F21" s="61">
        <f t="shared" si="7"/>
        <v>39.879771239500002</v>
      </c>
      <c r="G21" s="53">
        <f t="shared" si="7"/>
        <v>39.680372383302505</v>
      </c>
      <c r="H21" s="61">
        <f t="shared" si="7"/>
        <v>39.481970521385989</v>
      </c>
      <c r="I21" s="53">
        <f t="shared" si="7"/>
        <v>39.284560668779058</v>
      </c>
      <c r="J21" s="61">
        <f t="shared" si="7"/>
        <v>39.088137865435165</v>
      </c>
      <c r="K21" s="53">
        <f>J21*(1-($G$11/100))</f>
        <v>38.892697176107987</v>
      </c>
      <c r="L21" s="61">
        <f t="shared" si="7"/>
        <v>38.698233690227447</v>
      </c>
      <c r="M21" s="53">
        <f t="shared" si="7"/>
        <v>38.504742521776308</v>
      </c>
      <c r="N21" s="61">
        <f t="shared" si="7"/>
        <v>38.312218809167426</v>
      </c>
      <c r="O21" s="53">
        <f t="shared" si="7"/>
        <v>38.120657715121588</v>
      </c>
      <c r="P21" s="61">
        <f t="shared" si="7"/>
        <v>37.930054426545979</v>
      </c>
      <c r="Q21" s="53">
        <f t="shared" si="7"/>
        <v>37.740404154413248</v>
      </c>
      <c r="R21" s="61">
        <f t="shared" si="7"/>
        <v>37.551702133641179</v>
      </c>
      <c r="S21" s="53">
        <f t="shared" si="7"/>
        <v>37.363943622972975</v>
      </c>
      <c r="T21" s="61">
        <f t="shared" si="7"/>
        <v>37.177123904858114</v>
      </c>
      <c r="U21" s="61">
        <f t="shared" si="7"/>
        <v>36.991238285333822</v>
      </c>
      <c r="V21" s="54">
        <f t="shared" si="7"/>
        <v>36.80628209390715</v>
      </c>
      <c r="W21" s="54">
        <f t="shared" ref="W21:W32" si="8">V21*(1-($G$11/100))</f>
        <v>36.622250683437613</v>
      </c>
      <c r="X21" s="54">
        <f t="shared" ref="X21:X32" si="9">W21*(1-($G$11/100))</f>
        <v>36.439139430020425</v>
      </c>
      <c r="Y21" s="54">
        <f t="shared" ref="Y21:Y32" si="10">X21*(1-($G$11/100))</f>
        <v>36.256943732870326</v>
      </c>
      <c r="Z21" s="54">
        <f t="shared" ref="Z21:Z32" si="11">Y21*(1-($G$11/100))</f>
        <v>36.075659014205975</v>
      </c>
      <c r="AA21" s="54">
        <f t="shared" ref="AA21:AA32" si="12">Z21*(1-($G$11/100))</f>
        <v>35.895280719134945</v>
      </c>
      <c r="AB21" s="54"/>
    </row>
    <row r="22" spans="2:28">
      <c r="B22" s="69" t="s">
        <v>130</v>
      </c>
      <c r="C22" s="55">
        <f t="shared" ref="C22:C32" si="13">D5</f>
        <v>51.823999999999998</v>
      </c>
      <c r="D22" s="62">
        <f t="shared" ref="D22:S32" si="14">C22*(1-($G$11/100))</f>
        <v>51.564879999999995</v>
      </c>
      <c r="E22" s="56">
        <f t="shared" si="14"/>
        <v>51.307055599999998</v>
      </c>
      <c r="F22" s="62">
        <f t="shared" si="14"/>
        <v>51.050520321999997</v>
      </c>
      <c r="G22" s="56">
        <f t="shared" si="14"/>
        <v>50.795267720389994</v>
      </c>
      <c r="H22" s="62">
        <f t="shared" si="14"/>
        <v>50.541291381788042</v>
      </c>
      <c r="I22" s="56">
        <f t="shared" si="14"/>
        <v>50.288584924879103</v>
      </c>
      <c r="J22" s="62">
        <f t="shared" si="14"/>
        <v>50.037142000254704</v>
      </c>
      <c r="K22" s="56">
        <f t="shared" si="14"/>
        <v>49.786956290253428</v>
      </c>
      <c r="L22" s="62">
        <f t="shared" si="14"/>
        <v>49.53802150880216</v>
      </c>
      <c r="M22" s="56">
        <f t="shared" si="14"/>
        <v>49.29033140125815</v>
      </c>
      <c r="N22" s="62">
        <f t="shared" si="14"/>
        <v>49.043879744251861</v>
      </c>
      <c r="O22" s="56">
        <f t="shared" si="14"/>
        <v>48.7986603455306</v>
      </c>
      <c r="P22" s="62">
        <f t="shared" si="14"/>
        <v>48.554667043802944</v>
      </c>
      <c r="Q22" s="56">
        <f t="shared" si="14"/>
        <v>48.311893708583931</v>
      </c>
      <c r="R22" s="62">
        <f t="shared" si="14"/>
        <v>48.070334240041014</v>
      </c>
      <c r="S22" s="56">
        <f t="shared" si="14"/>
        <v>47.829982568840805</v>
      </c>
      <c r="T22" s="62">
        <f t="shared" si="7"/>
        <v>47.5908326559966</v>
      </c>
      <c r="U22" s="62">
        <f t="shared" si="7"/>
        <v>47.35287849271662</v>
      </c>
      <c r="V22" s="57">
        <f t="shared" si="7"/>
        <v>47.116114100253036</v>
      </c>
      <c r="W22" s="57">
        <f t="shared" si="8"/>
        <v>46.880533529751773</v>
      </c>
      <c r="X22" s="57">
        <f t="shared" si="9"/>
        <v>46.646130862103014</v>
      </c>
      <c r="Y22" s="57">
        <f t="shared" si="10"/>
        <v>46.412900207792497</v>
      </c>
      <c r="Z22" s="57">
        <f t="shared" si="11"/>
        <v>46.180835706753534</v>
      </c>
      <c r="AA22" s="57">
        <f t="shared" si="12"/>
        <v>45.949931528219764</v>
      </c>
      <c r="AB22" s="57"/>
    </row>
    <row r="23" spans="2:28">
      <c r="B23" s="69" t="s">
        <v>133</v>
      </c>
      <c r="C23" s="55">
        <f t="shared" si="13"/>
        <v>84.349000000000004</v>
      </c>
      <c r="D23" s="62">
        <f t="shared" si="14"/>
        <v>83.927255000000002</v>
      </c>
      <c r="E23" s="56">
        <f t="shared" si="7"/>
        <v>83.507618725</v>
      </c>
      <c r="F23" s="62">
        <f t="shared" si="7"/>
        <v>83.090080631375002</v>
      </c>
      <c r="G23" s="56">
        <f t="shared" si="7"/>
        <v>82.67463022821812</v>
      </c>
      <c r="H23" s="62">
        <f t="shared" si="7"/>
        <v>82.261257077077033</v>
      </c>
      <c r="I23" s="56">
        <f t="shared" si="7"/>
        <v>81.849950791691654</v>
      </c>
      <c r="J23" s="62">
        <f t="shared" si="7"/>
        <v>81.440701037733191</v>
      </c>
      <c r="K23" s="56">
        <f t="shared" si="7"/>
        <v>81.03349753254453</v>
      </c>
      <c r="L23" s="62">
        <f t="shared" si="7"/>
        <v>80.628330044881807</v>
      </c>
      <c r="M23" s="56">
        <f t="shared" si="7"/>
        <v>80.225188394657394</v>
      </c>
      <c r="N23" s="62">
        <f t="shared" si="7"/>
        <v>79.824062452684103</v>
      </c>
      <c r="O23" s="56">
        <f t="shared" si="7"/>
        <v>79.424942140420683</v>
      </c>
      <c r="P23" s="62">
        <f t="shared" si="7"/>
        <v>79.027817429718581</v>
      </c>
      <c r="Q23" s="56">
        <f t="shared" si="7"/>
        <v>78.632678342569989</v>
      </c>
      <c r="R23" s="62">
        <f t="shared" si="7"/>
        <v>78.239514950857142</v>
      </c>
      <c r="S23" s="56">
        <f t="shared" si="7"/>
        <v>77.848317376102855</v>
      </c>
      <c r="T23" s="62">
        <f t="shared" si="7"/>
        <v>77.459075789222339</v>
      </c>
      <c r="U23" s="62">
        <f t="shared" si="7"/>
        <v>77.071780410276233</v>
      </c>
      <c r="V23" s="57">
        <f t="shared" si="7"/>
        <v>76.686421508224853</v>
      </c>
      <c r="W23" s="57">
        <f t="shared" si="8"/>
        <v>76.302989400683728</v>
      </c>
      <c r="X23" s="57">
        <f t="shared" si="9"/>
        <v>75.921474453680304</v>
      </c>
      <c r="Y23" s="57">
        <f t="shared" si="10"/>
        <v>75.541867081411908</v>
      </c>
      <c r="Z23" s="57">
        <f t="shared" si="11"/>
        <v>75.164157746004847</v>
      </c>
      <c r="AA23" s="57">
        <f t="shared" si="12"/>
        <v>74.788336957274822</v>
      </c>
      <c r="AB23" s="57"/>
    </row>
    <row r="24" spans="2:28">
      <c r="B24" s="69" t="s">
        <v>135</v>
      </c>
      <c r="C24" s="55">
        <f t="shared" si="13"/>
        <v>99.567999999999998</v>
      </c>
      <c r="D24" s="62">
        <f t="shared" si="14"/>
        <v>99.070160000000001</v>
      </c>
      <c r="E24" s="56">
        <f t="shared" si="7"/>
        <v>98.574809200000004</v>
      </c>
      <c r="F24" s="62">
        <f t="shared" si="7"/>
        <v>98.081935154000007</v>
      </c>
      <c r="G24" s="56">
        <f t="shared" si="7"/>
        <v>97.591525478230011</v>
      </c>
      <c r="H24" s="62">
        <f t="shared" si="7"/>
        <v>97.103567850838857</v>
      </c>
      <c r="I24" s="56">
        <f t="shared" si="7"/>
        <v>96.618050011584657</v>
      </c>
      <c r="J24" s="62">
        <f t="shared" si="7"/>
        <v>96.13495976152673</v>
      </c>
      <c r="K24" s="56">
        <f t="shared" si="7"/>
        <v>95.654284962719089</v>
      </c>
      <c r="L24" s="62">
        <f t="shared" si="7"/>
        <v>95.17601353790549</v>
      </c>
      <c r="M24" s="56">
        <f t="shared" si="7"/>
        <v>94.70013347021596</v>
      </c>
      <c r="N24" s="62">
        <f t="shared" si="7"/>
        <v>94.226632802864884</v>
      </c>
      <c r="O24" s="56">
        <f t="shared" si="7"/>
        <v>93.755499638850566</v>
      </c>
      <c r="P24" s="62">
        <f t="shared" si="7"/>
        <v>93.286722140656309</v>
      </c>
      <c r="Q24" s="56">
        <f t="shared" si="7"/>
        <v>92.820288529953032</v>
      </c>
      <c r="R24" s="62">
        <f t="shared" si="7"/>
        <v>92.356187087303269</v>
      </c>
      <c r="S24" s="56">
        <f t="shared" si="7"/>
        <v>91.894406151866747</v>
      </c>
      <c r="T24" s="62">
        <f t="shared" si="7"/>
        <v>91.434934121107418</v>
      </c>
      <c r="U24" s="62">
        <f t="shared" si="7"/>
        <v>90.977759450501878</v>
      </c>
      <c r="V24" s="57">
        <f t="shared" si="7"/>
        <v>90.52287065324937</v>
      </c>
      <c r="W24" s="57">
        <f t="shared" si="8"/>
        <v>90.070256299983129</v>
      </c>
      <c r="X24" s="57">
        <f t="shared" si="9"/>
        <v>89.619905018483209</v>
      </c>
      <c r="Y24" s="57">
        <f t="shared" si="10"/>
        <v>89.171805493390792</v>
      </c>
      <c r="Z24" s="57">
        <f t="shared" si="11"/>
        <v>88.72594646592384</v>
      </c>
      <c r="AA24" s="57">
        <f t="shared" si="12"/>
        <v>88.282316733594214</v>
      </c>
      <c r="AB24" s="57"/>
    </row>
    <row r="25" spans="2:28">
      <c r="B25" s="69" t="s">
        <v>137</v>
      </c>
      <c r="C25" s="55">
        <f t="shared" si="13"/>
        <v>118.566</v>
      </c>
      <c r="D25" s="62">
        <f t="shared" si="14"/>
        <v>117.97317</v>
      </c>
      <c r="E25" s="56">
        <f t="shared" si="7"/>
        <v>117.38330415</v>
      </c>
      <c r="F25" s="62">
        <f t="shared" si="7"/>
        <v>116.79638762925001</v>
      </c>
      <c r="G25" s="56">
        <f t="shared" si="7"/>
        <v>116.21240569110375</v>
      </c>
      <c r="H25" s="62">
        <f t="shared" si="7"/>
        <v>115.63134366264823</v>
      </c>
      <c r="I25" s="56">
        <f t="shared" si="7"/>
        <v>115.053186944335</v>
      </c>
      <c r="J25" s="62">
        <f t="shared" si="7"/>
        <v>114.47792100961333</v>
      </c>
      <c r="K25" s="56">
        <f t="shared" si="7"/>
        <v>113.90553140456525</v>
      </c>
      <c r="L25" s="62">
        <f t="shared" si="7"/>
        <v>113.33600374754242</v>
      </c>
      <c r="M25" s="56">
        <f t="shared" si="7"/>
        <v>112.76932372880471</v>
      </c>
      <c r="N25" s="62">
        <f t="shared" si="7"/>
        <v>112.20547711016069</v>
      </c>
      <c r="O25" s="56">
        <f t="shared" si="7"/>
        <v>111.64444972460988</v>
      </c>
      <c r="P25" s="62">
        <f t="shared" si="7"/>
        <v>111.08622747598683</v>
      </c>
      <c r="Q25" s="56">
        <f t="shared" si="7"/>
        <v>110.53079633860689</v>
      </c>
      <c r="R25" s="62">
        <f t="shared" si="7"/>
        <v>109.97814235691385</v>
      </c>
      <c r="S25" s="56">
        <f t="shared" si="7"/>
        <v>109.42825164512928</v>
      </c>
      <c r="T25" s="62">
        <f t="shared" si="7"/>
        <v>108.88111038690363</v>
      </c>
      <c r="U25" s="62">
        <f t="shared" si="7"/>
        <v>108.33670483496911</v>
      </c>
      <c r="V25" s="57">
        <f t="shared" si="7"/>
        <v>107.79502131079427</v>
      </c>
      <c r="W25" s="57">
        <f t="shared" si="8"/>
        <v>107.25604620424029</v>
      </c>
      <c r="X25" s="57">
        <f t="shared" si="9"/>
        <v>106.71976597321908</v>
      </c>
      <c r="Y25" s="57">
        <f t="shared" si="10"/>
        <v>106.18616714335299</v>
      </c>
      <c r="Z25" s="57">
        <f t="shared" si="11"/>
        <v>105.65523630763623</v>
      </c>
      <c r="AA25" s="57">
        <f t="shared" si="12"/>
        <v>105.12696012609806</v>
      </c>
      <c r="AB25" s="57"/>
    </row>
    <row r="26" spans="2:28">
      <c r="B26" s="69" t="s">
        <v>140</v>
      </c>
      <c r="C26" s="55">
        <f t="shared" si="13"/>
        <v>126.623</v>
      </c>
      <c r="D26" s="62">
        <f t="shared" si="14"/>
        <v>125.989885</v>
      </c>
      <c r="E26" s="56">
        <f t="shared" si="7"/>
        <v>125.35993557499999</v>
      </c>
      <c r="F26" s="62">
        <f t="shared" si="7"/>
        <v>124.733135897125</v>
      </c>
      <c r="G26" s="56">
        <f t="shared" si="7"/>
        <v>124.10947021763937</v>
      </c>
      <c r="H26" s="62">
        <f t="shared" si="7"/>
        <v>123.48892286655118</v>
      </c>
      <c r="I26" s="56">
        <f t="shared" si="7"/>
        <v>122.87147825221842</v>
      </c>
      <c r="J26" s="62">
        <f t="shared" si="7"/>
        <v>122.25712086095733</v>
      </c>
      <c r="K26" s="56">
        <f t="shared" si="7"/>
        <v>121.64583525665255</v>
      </c>
      <c r="L26" s="62">
        <f t="shared" si="7"/>
        <v>121.03760608036929</v>
      </c>
      <c r="M26" s="56">
        <f t="shared" si="7"/>
        <v>120.43241804996744</v>
      </c>
      <c r="N26" s="62">
        <f t="shared" si="7"/>
        <v>119.8302559597176</v>
      </c>
      <c r="O26" s="56">
        <f t="shared" si="7"/>
        <v>119.23110467991901</v>
      </c>
      <c r="P26" s="62">
        <f t="shared" si="7"/>
        <v>118.63494915651941</v>
      </c>
      <c r="Q26" s="56">
        <f t="shared" si="7"/>
        <v>118.04177441073682</v>
      </c>
      <c r="R26" s="62">
        <f t="shared" si="7"/>
        <v>117.45156553868314</v>
      </c>
      <c r="S26" s="56">
        <f t="shared" si="7"/>
        <v>116.86430771098972</v>
      </c>
      <c r="T26" s="62">
        <f t="shared" si="7"/>
        <v>116.27998617243477</v>
      </c>
      <c r="U26" s="62">
        <f t="shared" si="7"/>
        <v>115.6985862415726</v>
      </c>
      <c r="V26" s="57">
        <f t="shared" si="7"/>
        <v>115.12009331036474</v>
      </c>
      <c r="W26" s="57">
        <f t="shared" si="8"/>
        <v>114.54449284381292</v>
      </c>
      <c r="X26" s="57">
        <f t="shared" si="9"/>
        <v>113.97177037959385</v>
      </c>
      <c r="Y26" s="57">
        <f t="shared" si="10"/>
        <v>113.40191152769587</v>
      </c>
      <c r="Z26" s="57">
        <f t="shared" si="11"/>
        <v>112.83490197005739</v>
      </c>
      <c r="AA26" s="57">
        <f t="shared" si="12"/>
        <v>112.2707274602071</v>
      </c>
      <c r="AB26" s="57"/>
    </row>
    <row r="27" spans="2:28">
      <c r="B27" s="69" t="s">
        <v>143</v>
      </c>
      <c r="C27" s="55">
        <f t="shared" si="13"/>
        <v>128.41399999999999</v>
      </c>
      <c r="D27" s="62">
        <f t="shared" si="14"/>
        <v>127.77192999999998</v>
      </c>
      <c r="E27" s="56">
        <f t="shared" si="7"/>
        <v>127.13307034999998</v>
      </c>
      <c r="F27" s="62">
        <f t="shared" si="7"/>
        <v>126.49740499824998</v>
      </c>
      <c r="G27" s="56">
        <f t="shared" si="7"/>
        <v>125.86491797325873</v>
      </c>
      <c r="H27" s="62">
        <f t="shared" si="7"/>
        <v>125.23559338339243</v>
      </c>
      <c r="I27" s="56">
        <f t="shared" si="7"/>
        <v>124.60941541647547</v>
      </c>
      <c r="J27" s="62">
        <f t="shared" si="7"/>
        <v>123.9863683393931</v>
      </c>
      <c r="K27" s="56">
        <f t="shared" si="7"/>
        <v>123.36643649769613</v>
      </c>
      <c r="L27" s="62">
        <f t="shared" si="7"/>
        <v>122.74960431520765</v>
      </c>
      <c r="M27" s="56">
        <f t="shared" si="7"/>
        <v>122.1358562936316</v>
      </c>
      <c r="N27" s="62">
        <f t="shared" si="7"/>
        <v>121.52517701216344</v>
      </c>
      <c r="O27" s="56">
        <f t="shared" si="7"/>
        <v>120.91755112710263</v>
      </c>
      <c r="P27" s="62">
        <f t="shared" si="7"/>
        <v>120.31296337146712</v>
      </c>
      <c r="Q27" s="56">
        <f t="shared" si="7"/>
        <v>119.71139855460979</v>
      </c>
      <c r="R27" s="62">
        <f t="shared" si="7"/>
        <v>119.11284156183673</v>
      </c>
      <c r="S27" s="56">
        <f t="shared" si="7"/>
        <v>118.51727735402754</v>
      </c>
      <c r="T27" s="62">
        <f t="shared" si="7"/>
        <v>117.9246909672574</v>
      </c>
      <c r="U27" s="62">
        <f t="shared" si="7"/>
        <v>117.33506751242112</v>
      </c>
      <c r="V27" s="57">
        <f t="shared" si="7"/>
        <v>116.74839217485901</v>
      </c>
      <c r="W27" s="57">
        <f t="shared" si="8"/>
        <v>116.16465021398471</v>
      </c>
      <c r="X27" s="57">
        <f t="shared" si="9"/>
        <v>115.58382696291478</v>
      </c>
      <c r="Y27" s="57">
        <f t="shared" si="10"/>
        <v>115.00590782810021</v>
      </c>
      <c r="Z27" s="57">
        <f t="shared" si="11"/>
        <v>114.4308782889597</v>
      </c>
      <c r="AA27" s="57">
        <f t="shared" si="12"/>
        <v>113.85872389751491</v>
      </c>
      <c r="AB27" s="57"/>
    </row>
    <row r="28" spans="2:28">
      <c r="B28" s="69" t="s">
        <v>146</v>
      </c>
      <c r="C28" s="55">
        <f t="shared" si="13"/>
        <v>113.39400000000001</v>
      </c>
      <c r="D28" s="62">
        <f t="shared" si="14"/>
        <v>112.82703000000001</v>
      </c>
      <c r="E28" s="56">
        <f t="shared" si="7"/>
        <v>112.26289485000001</v>
      </c>
      <c r="F28" s="62">
        <f t="shared" si="7"/>
        <v>111.70158037575001</v>
      </c>
      <c r="G28" s="56">
        <f t="shared" si="7"/>
        <v>111.14307247387126</v>
      </c>
      <c r="H28" s="62">
        <f t="shared" si="7"/>
        <v>110.5873571115019</v>
      </c>
      <c r="I28" s="56">
        <f t="shared" si="7"/>
        <v>110.0344203259444</v>
      </c>
      <c r="J28" s="62">
        <f t="shared" si="7"/>
        <v>109.48424822431467</v>
      </c>
      <c r="K28" s="56">
        <f t="shared" si="7"/>
        <v>108.9368269831931</v>
      </c>
      <c r="L28" s="62">
        <f t="shared" si="7"/>
        <v>108.39214284827713</v>
      </c>
      <c r="M28" s="56">
        <f t="shared" si="7"/>
        <v>107.85018213403575</v>
      </c>
      <c r="N28" s="62">
        <f t="shared" si="7"/>
        <v>107.31093122336557</v>
      </c>
      <c r="O28" s="56">
        <f t="shared" si="7"/>
        <v>106.77437656724874</v>
      </c>
      <c r="P28" s="62">
        <f t="shared" si="7"/>
        <v>106.2405046844125</v>
      </c>
      <c r="Q28" s="56">
        <f t="shared" si="7"/>
        <v>105.70930216099043</v>
      </c>
      <c r="R28" s="62">
        <f t="shared" si="7"/>
        <v>105.18075565018547</v>
      </c>
      <c r="S28" s="56">
        <f t="shared" si="7"/>
        <v>104.65485187193455</v>
      </c>
      <c r="T28" s="62">
        <f t="shared" si="7"/>
        <v>104.13157761257489</v>
      </c>
      <c r="U28" s="62">
        <f t="shared" si="7"/>
        <v>103.61091972451202</v>
      </c>
      <c r="V28" s="57">
        <f t="shared" si="7"/>
        <v>103.09286512588946</v>
      </c>
      <c r="W28" s="57">
        <f t="shared" si="8"/>
        <v>102.57740080026001</v>
      </c>
      <c r="X28" s="57">
        <f t="shared" si="9"/>
        <v>102.06451379625871</v>
      </c>
      <c r="Y28" s="57">
        <f t="shared" si="10"/>
        <v>101.55419122727741</v>
      </c>
      <c r="Z28" s="57">
        <f t="shared" si="11"/>
        <v>101.04642027114103</v>
      </c>
      <c r="AA28" s="57">
        <f t="shared" si="12"/>
        <v>100.54118816978533</v>
      </c>
      <c r="AB28" s="57"/>
    </row>
    <row r="29" spans="2:28">
      <c r="B29" s="69" t="s">
        <v>148</v>
      </c>
      <c r="C29" s="55">
        <f t="shared" si="13"/>
        <v>90.417000000000002</v>
      </c>
      <c r="D29" s="62">
        <f t="shared" si="14"/>
        <v>89.964915000000005</v>
      </c>
      <c r="E29" s="56">
        <f t="shared" si="7"/>
        <v>89.515090425000011</v>
      </c>
      <c r="F29" s="62">
        <f t="shared" si="7"/>
        <v>89.067514972875017</v>
      </c>
      <c r="G29" s="56">
        <f t="shared" si="7"/>
        <v>88.622177398010635</v>
      </c>
      <c r="H29" s="62">
        <f t="shared" si="7"/>
        <v>88.179066511020579</v>
      </c>
      <c r="I29" s="56">
        <f t="shared" si="7"/>
        <v>87.738171178465478</v>
      </c>
      <c r="J29" s="62">
        <f t="shared" si="7"/>
        <v>87.299480322573146</v>
      </c>
      <c r="K29" s="56">
        <f t="shared" si="7"/>
        <v>86.862982920960278</v>
      </c>
      <c r="L29" s="62">
        <f t="shared" si="7"/>
        <v>86.42866800635548</v>
      </c>
      <c r="M29" s="56">
        <f t="shared" si="7"/>
        <v>85.996524666323708</v>
      </c>
      <c r="N29" s="62">
        <f t="shared" si="7"/>
        <v>85.566542042992083</v>
      </c>
      <c r="O29" s="56">
        <f t="shared" si="7"/>
        <v>85.138709332777125</v>
      </c>
      <c r="P29" s="62">
        <f t="shared" si="7"/>
        <v>84.713015786113246</v>
      </c>
      <c r="Q29" s="56">
        <f t="shared" si="7"/>
        <v>84.289450707182681</v>
      </c>
      <c r="R29" s="62">
        <f t="shared" si="7"/>
        <v>83.868003453646764</v>
      </c>
      <c r="S29" s="56">
        <f t="shared" si="7"/>
        <v>83.448663436378524</v>
      </c>
      <c r="T29" s="62">
        <f t="shared" si="7"/>
        <v>83.031420119196625</v>
      </c>
      <c r="U29" s="62">
        <f t="shared" si="7"/>
        <v>82.616263018600648</v>
      </c>
      <c r="V29" s="57">
        <f t="shared" si="7"/>
        <v>82.203181703507639</v>
      </c>
      <c r="W29" s="57">
        <f t="shared" si="8"/>
        <v>81.792165794990098</v>
      </c>
      <c r="X29" s="57">
        <f t="shared" si="9"/>
        <v>81.383204966015143</v>
      </c>
      <c r="Y29" s="57">
        <f t="shared" si="10"/>
        <v>80.976288941185061</v>
      </c>
      <c r="Z29" s="57">
        <f t="shared" si="11"/>
        <v>80.571407496479139</v>
      </c>
      <c r="AA29" s="57">
        <f t="shared" si="12"/>
        <v>80.168550458996748</v>
      </c>
      <c r="AB29" s="57"/>
    </row>
    <row r="30" spans="2:28">
      <c r="B30" s="69" t="s">
        <v>149</v>
      </c>
      <c r="C30" s="55">
        <f t="shared" si="13"/>
        <v>63.66</v>
      </c>
      <c r="D30" s="62">
        <f t="shared" si="14"/>
        <v>63.341699999999996</v>
      </c>
      <c r="E30" s="56">
        <f t="shared" si="7"/>
        <v>63.024991499999999</v>
      </c>
      <c r="F30" s="62">
        <f t="shared" si="7"/>
        <v>62.709866542499995</v>
      </c>
      <c r="G30" s="56">
        <f t="shared" si="7"/>
        <v>62.396317209787497</v>
      </c>
      <c r="H30" s="62">
        <f t="shared" si="7"/>
        <v>62.084335623738561</v>
      </c>
      <c r="I30" s="56">
        <f t="shared" si="7"/>
        <v>61.773913945619867</v>
      </c>
      <c r="J30" s="62">
        <f t="shared" si="7"/>
        <v>61.465044375891765</v>
      </c>
      <c r="K30" s="56">
        <f t="shared" si="7"/>
        <v>61.157719154012305</v>
      </c>
      <c r="L30" s="62">
        <f t="shared" si="7"/>
        <v>60.851930558242245</v>
      </c>
      <c r="M30" s="56">
        <f t="shared" si="7"/>
        <v>60.547670905451035</v>
      </c>
      <c r="N30" s="62">
        <f t="shared" si="7"/>
        <v>60.244932550923778</v>
      </c>
      <c r="O30" s="56">
        <f t="shared" si="7"/>
        <v>59.943707888169158</v>
      </c>
      <c r="P30" s="62">
        <f t="shared" si="7"/>
        <v>59.643989348728311</v>
      </c>
      <c r="Q30" s="56">
        <f t="shared" si="7"/>
        <v>59.345769401984668</v>
      </c>
      <c r="R30" s="62">
        <f t="shared" si="7"/>
        <v>59.049040554974745</v>
      </c>
      <c r="S30" s="56">
        <f t="shared" si="7"/>
        <v>58.753795352199873</v>
      </c>
      <c r="T30" s="62">
        <f t="shared" si="7"/>
        <v>58.460026375438872</v>
      </c>
      <c r="U30" s="62">
        <f t="shared" si="7"/>
        <v>58.167726243561674</v>
      </c>
      <c r="V30" s="57">
        <f t="shared" si="7"/>
        <v>57.876887612343864</v>
      </c>
      <c r="W30" s="57">
        <f t="shared" si="8"/>
        <v>57.587503174282148</v>
      </c>
      <c r="X30" s="57">
        <f t="shared" si="9"/>
        <v>57.299565658410735</v>
      </c>
      <c r="Y30" s="57">
        <f t="shared" si="10"/>
        <v>57.013067830118679</v>
      </c>
      <c r="Z30" s="57">
        <f t="shared" si="11"/>
        <v>56.728002490968088</v>
      </c>
      <c r="AA30" s="57">
        <f t="shared" si="12"/>
        <v>56.444362478513249</v>
      </c>
      <c r="AB30" s="57"/>
    </row>
    <row r="31" spans="2:28">
      <c r="B31" s="69" t="s">
        <v>150</v>
      </c>
      <c r="C31" s="55">
        <f t="shared" si="13"/>
        <v>43.765999999999998</v>
      </c>
      <c r="D31" s="62">
        <f t="shared" si="14"/>
        <v>43.547170000000001</v>
      </c>
      <c r="E31" s="56">
        <f t="shared" si="7"/>
        <v>43.329434150000004</v>
      </c>
      <c r="F31" s="62">
        <f t="shared" si="7"/>
        <v>43.112786979250004</v>
      </c>
      <c r="G31" s="56">
        <f t="shared" si="7"/>
        <v>42.897223044353751</v>
      </c>
      <c r="H31" s="62">
        <f t="shared" si="7"/>
        <v>42.682736929131984</v>
      </c>
      <c r="I31" s="56">
        <f t="shared" si="7"/>
        <v>42.469323244486326</v>
      </c>
      <c r="J31" s="62">
        <f t="shared" si="7"/>
        <v>42.256976628263892</v>
      </c>
      <c r="K31" s="56">
        <f t="shared" si="7"/>
        <v>42.045691745122575</v>
      </c>
      <c r="L31" s="62">
        <f t="shared" si="7"/>
        <v>41.835463286396958</v>
      </c>
      <c r="M31" s="56">
        <f t="shared" si="7"/>
        <v>41.626285969964975</v>
      </c>
      <c r="N31" s="62">
        <f t="shared" si="7"/>
        <v>41.418154540115147</v>
      </c>
      <c r="O31" s="56">
        <f t="shared" si="7"/>
        <v>41.211063767414572</v>
      </c>
      <c r="P31" s="62">
        <f t="shared" si="7"/>
        <v>41.005008448577499</v>
      </c>
      <c r="Q31" s="56">
        <f t="shared" si="7"/>
        <v>40.799983406334611</v>
      </c>
      <c r="R31" s="62">
        <f t="shared" si="7"/>
        <v>40.595983489302938</v>
      </c>
      <c r="S31" s="56">
        <f t="shared" si="7"/>
        <v>40.393003571856426</v>
      </c>
      <c r="T31" s="62">
        <f t="shared" si="7"/>
        <v>40.191038553997146</v>
      </c>
      <c r="U31" s="62">
        <f t="shared" si="7"/>
        <v>39.990083361227157</v>
      </c>
      <c r="V31" s="57">
        <f t="shared" si="7"/>
        <v>39.790132944421018</v>
      </c>
      <c r="W31" s="57">
        <f t="shared" si="8"/>
        <v>39.591182279698913</v>
      </c>
      <c r="X31" s="57">
        <f t="shared" si="9"/>
        <v>39.393226368300418</v>
      </c>
      <c r="Y31" s="57">
        <f t="shared" si="10"/>
        <v>39.196260236458919</v>
      </c>
      <c r="Z31" s="57">
        <f t="shared" si="11"/>
        <v>39.000278935276626</v>
      </c>
      <c r="AA31" s="57">
        <f t="shared" si="12"/>
        <v>38.805277540600244</v>
      </c>
      <c r="AB31" s="57"/>
    </row>
    <row r="32" spans="2:28" ht="15.75" thickBot="1">
      <c r="B32" s="70" t="s">
        <v>151</v>
      </c>
      <c r="C32" s="58">
        <f t="shared" si="13"/>
        <v>33.619999999999997</v>
      </c>
      <c r="D32" s="63">
        <f t="shared" si="14"/>
        <v>33.451899999999995</v>
      </c>
      <c r="E32" s="59">
        <f t="shared" si="7"/>
        <v>33.284640499999995</v>
      </c>
      <c r="F32" s="63">
        <f t="shared" si="7"/>
        <v>33.118217297499996</v>
      </c>
      <c r="G32" s="59">
        <f t="shared" si="7"/>
        <v>32.952626211012493</v>
      </c>
      <c r="H32" s="63">
        <f t="shared" si="7"/>
        <v>32.787863079957432</v>
      </c>
      <c r="I32" s="59">
        <f t="shared" si="7"/>
        <v>32.623923764557645</v>
      </c>
      <c r="J32" s="63">
        <f t="shared" si="7"/>
        <v>32.460804145734855</v>
      </c>
      <c r="K32" s="59">
        <f t="shared" si="7"/>
        <v>32.298500125006179</v>
      </c>
      <c r="L32" s="63">
        <f t="shared" si="7"/>
        <v>32.137007624381148</v>
      </c>
      <c r="M32" s="59">
        <f t="shared" si="7"/>
        <v>31.976322586259244</v>
      </c>
      <c r="N32" s="63">
        <f t="shared" si="7"/>
        <v>31.816440973327946</v>
      </c>
      <c r="O32" s="59">
        <f t="shared" si="7"/>
        <v>31.657358768461307</v>
      </c>
      <c r="P32" s="63">
        <f t="shared" si="7"/>
        <v>31.499071974619</v>
      </c>
      <c r="Q32" s="59">
        <f t="shared" si="7"/>
        <v>31.341576614745904</v>
      </c>
      <c r="R32" s="63">
        <f t="shared" si="7"/>
        <v>31.184868731672175</v>
      </c>
      <c r="S32" s="59">
        <f t="shared" si="7"/>
        <v>31.028944388013816</v>
      </c>
      <c r="T32" s="63">
        <f t="shared" si="7"/>
        <v>30.873799666073747</v>
      </c>
      <c r="U32" s="63">
        <f t="shared" si="7"/>
        <v>30.719430667743378</v>
      </c>
      <c r="V32" s="60">
        <f t="shared" si="7"/>
        <v>30.565833514404662</v>
      </c>
      <c r="W32" s="60">
        <f t="shared" si="8"/>
        <v>30.41300434683264</v>
      </c>
      <c r="X32" s="60">
        <f t="shared" si="9"/>
        <v>30.260939325098477</v>
      </c>
      <c r="Y32" s="60">
        <f t="shared" si="10"/>
        <v>30.109634628472985</v>
      </c>
      <c r="Z32" s="60">
        <f t="shared" si="11"/>
        <v>29.95908645533062</v>
      </c>
      <c r="AA32" s="60">
        <f t="shared" si="12"/>
        <v>29.809291023053966</v>
      </c>
      <c r="AB32" s="60"/>
    </row>
    <row r="33" spans="2:28" ht="15.75" thickBot="1">
      <c r="B33" s="71" t="s">
        <v>155</v>
      </c>
      <c r="C33" s="50">
        <f>SUM(C21:C32)</f>
        <v>994.68499999999995</v>
      </c>
      <c r="D33" s="64">
        <f>SUM(D21:D32)</f>
        <v>989.71157500000004</v>
      </c>
      <c r="E33" s="50">
        <f t="shared" ref="E33:V33" si="15">SUM(E21:E32)</f>
        <v>984.76301712500003</v>
      </c>
      <c r="F33" s="64">
        <f t="shared" si="15"/>
        <v>979.8392020393751</v>
      </c>
      <c r="G33" s="50">
        <f t="shared" si="15"/>
        <v>974.94000602917799</v>
      </c>
      <c r="H33" s="64">
        <f t="shared" si="15"/>
        <v>970.06530599903226</v>
      </c>
      <c r="I33" s="50">
        <f t="shared" si="15"/>
        <v>965.21497946903696</v>
      </c>
      <c r="J33" s="64">
        <f t="shared" si="15"/>
        <v>960.38890457169191</v>
      </c>
      <c r="K33" s="50">
        <f t="shared" si="15"/>
        <v>955.58696004883325</v>
      </c>
      <c r="L33" s="64">
        <f t="shared" si="15"/>
        <v>950.80902524858914</v>
      </c>
      <c r="M33" s="50">
        <f t="shared" si="15"/>
        <v>946.05498012234636</v>
      </c>
      <c r="N33" s="64">
        <f t="shared" si="15"/>
        <v>941.32470522173435</v>
      </c>
      <c r="O33" s="50">
        <f t="shared" si="15"/>
        <v>936.61808169562585</v>
      </c>
      <c r="P33" s="64">
        <f t="shared" si="15"/>
        <v>931.9349912871478</v>
      </c>
      <c r="Q33" s="50">
        <f t="shared" si="15"/>
        <v>927.27531633071203</v>
      </c>
      <c r="R33" s="64">
        <f t="shared" si="15"/>
        <v>922.63893974905852</v>
      </c>
      <c r="S33" s="50">
        <f t="shared" si="15"/>
        <v>918.02574505031293</v>
      </c>
      <c r="T33" s="64">
        <f t="shared" si="15"/>
        <v>913.43561632506157</v>
      </c>
      <c r="U33" s="64">
        <f t="shared" si="15"/>
        <v>908.86843824343612</v>
      </c>
      <c r="V33" s="51">
        <f t="shared" si="15"/>
        <v>904.32409605221892</v>
      </c>
      <c r="W33" s="51">
        <f t="shared" ref="W33:AA33" si="16">SUM(W21:W32)</f>
        <v>899.80247557195787</v>
      </c>
      <c r="X33" s="51">
        <f t="shared" si="16"/>
        <v>895.30346319409819</v>
      </c>
      <c r="Y33" s="51">
        <f t="shared" si="16"/>
        <v>890.82694587812773</v>
      </c>
      <c r="Z33" s="51">
        <f t="shared" si="16"/>
        <v>886.3728111487369</v>
      </c>
      <c r="AA33" s="51">
        <f t="shared" si="16"/>
        <v>881.94094709299338</v>
      </c>
      <c r="AB33" s="51">
        <f>SUM(C33:AA33)</f>
        <v>23430.751528494304</v>
      </c>
    </row>
    <row r="34" spans="2:28" ht="15.75" thickBot="1">
      <c r="B34" s="71" t="s">
        <v>156</v>
      </c>
      <c r="C34" s="65">
        <f>C33*$G$12</f>
        <v>536533.08899999992</v>
      </c>
      <c r="D34" s="67">
        <f t="shared" ref="D34:V34" si="17">D33*$G$12</f>
        <v>533850.42355499999</v>
      </c>
      <c r="E34" s="65">
        <f t="shared" si="17"/>
        <v>531181.17143722496</v>
      </c>
      <c r="F34" s="67">
        <f t="shared" si="17"/>
        <v>528525.26558003889</v>
      </c>
      <c r="G34" s="65">
        <f t="shared" si="17"/>
        <v>525882.63925213856</v>
      </c>
      <c r="H34" s="67">
        <f t="shared" si="17"/>
        <v>523253.22605587798</v>
      </c>
      <c r="I34" s="65">
        <f t="shared" si="17"/>
        <v>520636.95992559852</v>
      </c>
      <c r="J34" s="67">
        <f t="shared" si="17"/>
        <v>518033.7751259706</v>
      </c>
      <c r="K34" s="65">
        <f t="shared" si="17"/>
        <v>515443.60625034064</v>
      </c>
      <c r="L34" s="67">
        <f t="shared" si="17"/>
        <v>512866.38821908896</v>
      </c>
      <c r="M34" s="65">
        <f t="shared" si="17"/>
        <v>510302.0562779936</v>
      </c>
      <c r="N34" s="67">
        <f t="shared" si="17"/>
        <v>507750.5459966035</v>
      </c>
      <c r="O34" s="65">
        <f t="shared" si="17"/>
        <v>505211.79326662055</v>
      </c>
      <c r="P34" s="67">
        <f t="shared" si="17"/>
        <v>502685.7343002875</v>
      </c>
      <c r="Q34" s="65">
        <f t="shared" si="17"/>
        <v>500172.30562878604</v>
      </c>
      <c r="R34" s="67">
        <f t="shared" si="17"/>
        <v>497671.44410064217</v>
      </c>
      <c r="S34" s="65">
        <f t="shared" si="17"/>
        <v>495183.08688013878</v>
      </c>
      <c r="T34" s="67">
        <f t="shared" si="17"/>
        <v>492707.17144573817</v>
      </c>
      <c r="U34" s="67">
        <f t="shared" si="17"/>
        <v>490243.63558850944</v>
      </c>
      <c r="V34" s="66">
        <f t="shared" si="17"/>
        <v>487792.41741056688</v>
      </c>
      <c r="W34" s="66">
        <f t="shared" ref="W34:AA34" si="18">W33*$G$12</f>
        <v>485353.45532351406</v>
      </c>
      <c r="X34" s="66">
        <f t="shared" si="18"/>
        <v>482926.68804689654</v>
      </c>
      <c r="Y34" s="66">
        <f t="shared" si="18"/>
        <v>480512.05460666207</v>
      </c>
      <c r="Z34" s="66">
        <f t="shared" si="18"/>
        <v>478109.49433362868</v>
      </c>
      <c r="AA34" s="66">
        <f t="shared" si="18"/>
        <v>475718.94686196063</v>
      </c>
      <c r="AB34" s="66">
        <f t="shared" ref="AB34:AB35" si="19">SUM(C34:AA34)</f>
        <v>12638547.37446983</v>
      </c>
    </row>
    <row r="35" spans="2:28" ht="15.75" thickBot="1">
      <c r="B35" s="71" t="s">
        <v>157</v>
      </c>
      <c r="C35" s="93">
        <f>C34/2204.62</f>
        <v>243.36760484800098</v>
      </c>
      <c r="D35" s="94">
        <f t="shared" ref="D35:V35" si="20">D34/2204.62</f>
        <v>242.15076682376102</v>
      </c>
      <c r="E35" s="93">
        <f t="shared" si="20"/>
        <v>240.94001298964218</v>
      </c>
      <c r="F35" s="94">
        <f t="shared" si="20"/>
        <v>239.735312924694</v>
      </c>
      <c r="G35" s="93">
        <f t="shared" si="20"/>
        <v>238.53663636007047</v>
      </c>
      <c r="H35" s="94">
        <f t="shared" si="20"/>
        <v>237.34395317827017</v>
      </c>
      <c r="I35" s="93">
        <f t="shared" si="20"/>
        <v>236.15723341237879</v>
      </c>
      <c r="J35" s="94">
        <f t="shared" si="20"/>
        <v>234.97644724531693</v>
      </c>
      <c r="K35" s="93">
        <f t="shared" si="20"/>
        <v>233.8015650090903</v>
      </c>
      <c r="L35" s="94">
        <f t="shared" si="20"/>
        <v>232.63255718404486</v>
      </c>
      <c r="M35" s="93">
        <f t="shared" si="20"/>
        <v>231.46939439812468</v>
      </c>
      <c r="N35" s="94">
        <f t="shared" si="20"/>
        <v>230.312047426134</v>
      </c>
      <c r="O35" s="93">
        <f t="shared" si="20"/>
        <v>229.16048718900336</v>
      </c>
      <c r="P35" s="94">
        <f t="shared" si="20"/>
        <v>228.01468475305836</v>
      </c>
      <c r="Q35" s="93">
        <f t="shared" si="20"/>
        <v>226.87461132929306</v>
      </c>
      <c r="R35" s="94">
        <f t="shared" si="20"/>
        <v>225.74023827264662</v>
      </c>
      <c r="S35" s="93">
        <f t="shared" si="20"/>
        <v>224.6115370812833</v>
      </c>
      <c r="T35" s="94">
        <f t="shared" si="20"/>
        <v>223.48847939587694</v>
      </c>
      <c r="U35" s="94">
        <f t="shared" si="20"/>
        <v>222.37103699889752</v>
      </c>
      <c r="V35" s="95">
        <f t="shared" si="20"/>
        <v>221.25918181390304</v>
      </c>
      <c r="W35" s="95">
        <f t="shared" ref="W35:AA35" si="21">W34/2204.62</f>
        <v>220.15288590483354</v>
      </c>
      <c r="X35" s="95">
        <f t="shared" si="21"/>
        <v>219.05212147530938</v>
      </c>
      <c r="Y35" s="95">
        <f t="shared" si="21"/>
        <v>217.95686086793285</v>
      </c>
      <c r="Z35" s="95">
        <f t="shared" si="21"/>
        <v>216.86707656359314</v>
      </c>
      <c r="AA35" s="95">
        <f t="shared" si="21"/>
        <v>215.78274118077522</v>
      </c>
      <c r="AB35" s="95">
        <f t="shared" si="19"/>
        <v>5732.7554746259357</v>
      </c>
    </row>
    <row r="37" spans="2:28">
      <c r="D37" s="129"/>
    </row>
    <row r="41" spans="2:28">
      <c r="E41" s="48"/>
    </row>
    <row r="42" spans="2:28">
      <c r="E42" s="48"/>
    </row>
    <row r="43" spans="2:28">
      <c r="E43" s="48"/>
    </row>
    <row r="44" spans="2:28">
      <c r="E44" s="48"/>
    </row>
    <row r="45" spans="2:28">
      <c r="E45" s="48"/>
    </row>
    <row r="46" spans="2:28">
      <c r="E46" s="48"/>
    </row>
    <row r="47" spans="2:28">
      <c r="E47" s="48"/>
    </row>
    <row r="48" spans="2:28">
      <c r="E48" s="48"/>
    </row>
    <row r="49" spans="5:5">
      <c r="E49" s="48"/>
    </row>
    <row r="50" spans="5:5">
      <c r="E50" s="48"/>
    </row>
    <row r="51" spans="5:5">
      <c r="E51" s="48"/>
    </row>
    <row r="52" spans="5:5">
      <c r="E52" s="48"/>
    </row>
    <row r="53" spans="5:5">
      <c r="E53" s="48"/>
    </row>
  </sheetData>
  <mergeCells count="5">
    <mergeCell ref="O3:P3"/>
    <mergeCell ref="O4:P4"/>
    <mergeCell ref="B2:J2"/>
    <mergeCell ref="M2:Q2"/>
    <mergeCell ref="C19:AA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E4AAF-A87D-4C5D-9594-4B062E527F88}">
  <dimension ref="A2:Q49"/>
  <sheetViews>
    <sheetView tabSelected="1" zoomScale="124" zoomScaleNormal="145" workbookViewId="0">
      <selection activeCell="F13" sqref="F13"/>
    </sheetView>
  </sheetViews>
  <sheetFormatPr defaultRowHeight="15"/>
  <cols>
    <col min="3" max="3" width="26.140625" customWidth="1"/>
    <col min="4" max="4" width="20.7109375" customWidth="1"/>
    <col min="5" max="5" width="22.85546875" customWidth="1"/>
    <col min="6" max="6" width="15.85546875" customWidth="1"/>
    <col min="7" max="7" width="21.5703125" style="115" customWidth="1"/>
    <col min="8" max="8" width="26.85546875" style="115" customWidth="1"/>
    <col min="9" max="9" width="16.85546875" bestFit="1" customWidth="1"/>
    <col min="10" max="10" width="25" customWidth="1"/>
    <col min="11" max="11" width="16.5703125" customWidth="1"/>
    <col min="12" max="13" width="16.5703125" style="115" customWidth="1"/>
    <col min="14" max="14" width="12.140625" bestFit="1" customWidth="1"/>
    <col min="15" max="16" width="18.28515625" customWidth="1"/>
    <col min="17" max="17" width="19.85546875" customWidth="1"/>
  </cols>
  <sheetData>
    <row r="2" spans="3:11">
      <c r="C2" s="16" t="s">
        <v>158</v>
      </c>
      <c r="D2" s="107">
        <v>900000</v>
      </c>
      <c r="E2" s="16" t="s">
        <v>159</v>
      </c>
      <c r="H2" s="16" t="s">
        <v>160</v>
      </c>
      <c r="I2" s="135">
        <f>SUM(J23:J47)</f>
        <v>4579285.6977695888</v>
      </c>
    </row>
    <row r="3" spans="3:11">
      <c r="C3" s="16" t="s">
        <v>161</v>
      </c>
      <c r="D3" s="108">
        <v>3</v>
      </c>
      <c r="E3" s="16" t="s">
        <v>162</v>
      </c>
      <c r="H3" s="16" t="s">
        <v>163</v>
      </c>
      <c r="I3" s="135">
        <f>-SUM(O23:O47)</f>
        <v>3356454.9247889826</v>
      </c>
    </row>
    <row r="4" spans="3:11">
      <c r="C4" s="16" t="s">
        <v>164</v>
      </c>
      <c r="D4" s="109">
        <f>D3*D2</f>
        <v>2700000</v>
      </c>
      <c r="E4" s="16"/>
      <c r="H4" s="16" t="s">
        <v>165</v>
      </c>
      <c r="I4" s="135">
        <f>I2-I3</f>
        <v>1222830.7729806062</v>
      </c>
    </row>
    <row r="5" spans="3:11" ht="28.5" customHeight="1">
      <c r="C5" s="16" t="s">
        <v>166</v>
      </c>
      <c r="D5" s="110">
        <v>0.4</v>
      </c>
      <c r="E5" s="104" t="s">
        <v>167</v>
      </c>
      <c r="H5" s="16" t="s">
        <v>168</v>
      </c>
      <c r="I5" s="136">
        <f>NPV(D12,Q23:Q47)</f>
        <v>610219.28732083598</v>
      </c>
    </row>
    <row r="6" spans="3:11">
      <c r="C6" s="16" t="s">
        <v>169</v>
      </c>
      <c r="D6" s="110" t="s">
        <v>170</v>
      </c>
      <c r="E6" s="16"/>
      <c r="H6"/>
    </row>
    <row r="7" spans="3:11" ht="29.25" customHeight="1">
      <c r="C7" s="16" t="s">
        <v>171</v>
      </c>
      <c r="D7" s="111">
        <f>IF(D6="yes",D5*0.85,D5)</f>
        <v>0.34</v>
      </c>
      <c r="E7" s="104" t="s">
        <v>172</v>
      </c>
    </row>
    <row r="8" spans="3:11">
      <c r="C8" s="102" t="s">
        <v>173</v>
      </c>
      <c r="D8" s="122">
        <v>500000</v>
      </c>
      <c r="E8" s="102" t="s">
        <v>174</v>
      </c>
      <c r="K8" s="121"/>
    </row>
    <row r="9" spans="3:11">
      <c r="C9" s="16" t="s">
        <v>175</v>
      </c>
      <c r="D9" s="108">
        <f>(D4*(1-D7))-D8</f>
        <v>1281999.9999999998</v>
      </c>
      <c r="E9" s="16"/>
    </row>
    <row r="10" spans="3:11">
      <c r="C10" s="16" t="s">
        <v>176</v>
      </c>
      <c r="D10" s="16">
        <v>4.4999999999999998E-2</v>
      </c>
      <c r="E10" s="16" t="s">
        <v>177</v>
      </c>
    </row>
    <row r="11" spans="3:11">
      <c r="C11" s="16" t="s">
        <v>178</v>
      </c>
      <c r="D11" s="16">
        <v>20</v>
      </c>
      <c r="E11" s="16" t="s">
        <v>179</v>
      </c>
    </row>
    <row r="12" spans="3:11">
      <c r="C12" s="16" t="s">
        <v>180</v>
      </c>
      <c r="D12" s="120">
        <v>0.04</v>
      </c>
      <c r="E12" s="16" t="s">
        <v>181</v>
      </c>
    </row>
    <row r="13" spans="3:11" ht="60">
      <c r="C13" s="16" t="s">
        <v>182</v>
      </c>
      <c r="D13" s="112">
        <v>0.125</v>
      </c>
      <c r="E13" s="104" t="s">
        <v>183</v>
      </c>
    </row>
    <row r="14" spans="3:11">
      <c r="C14" s="16" t="s">
        <v>184</v>
      </c>
      <c r="D14" s="112">
        <v>10.88</v>
      </c>
      <c r="E14" s="16" t="s">
        <v>185</v>
      </c>
    </row>
    <row r="15" spans="3:11">
      <c r="C15" s="16" t="s">
        <v>186</v>
      </c>
      <c r="D15" s="110">
        <v>0.85</v>
      </c>
      <c r="E15" s="16"/>
    </row>
    <row r="16" spans="3:11">
      <c r="C16" s="16" t="s">
        <v>187</v>
      </c>
      <c r="D16" s="112">
        <f>D15*D14</f>
        <v>9.2480000000000011</v>
      </c>
      <c r="E16" s="16"/>
    </row>
    <row r="17" spans="1:17">
      <c r="C17" s="16" t="s">
        <v>188</v>
      </c>
      <c r="D17" s="110">
        <v>0.1</v>
      </c>
      <c r="E17" s="16"/>
    </row>
    <row r="18" spans="1:17">
      <c r="C18" s="16" t="s">
        <v>189</v>
      </c>
      <c r="D18" s="111">
        <v>5.0000000000000001E-3</v>
      </c>
      <c r="E18" s="16"/>
    </row>
    <row r="19" spans="1:17">
      <c r="C19" s="16" t="s">
        <v>190</v>
      </c>
      <c r="D19" s="111">
        <v>0.03</v>
      </c>
      <c r="E19" s="16"/>
    </row>
    <row r="20" spans="1:17">
      <c r="C20" s="16" t="s">
        <v>191</v>
      </c>
      <c r="D20" s="111">
        <v>2.5000000000000001E-2</v>
      </c>
      <c r="E20" s="16"/>
    </row>
    <row r="22" spans="1:17">
      <c r="A22" s="127" t="s">
        <v>192</v>
      </c>
      <c r="B22" s="127"/>
      <c r="C22" s="128" t="s">
        <v>155</v>
      </c>
      <c r="D22" s="128" t="s">
        <v>193</v>
      </c>
      <c r="E22" s="128" t="s">
        <v>194</v>
      </c>
      <c r="F22" s="127" t="s">
        <v>195</v>
      </c>
      <c r="G22" s="128" t="s">
        <v>188</v>
      </c>
      <c r="H22" s="128" t="s">
        <v>196</v>
      </c>
      <c r="I22" s="127" t="s">
        <v>188</v>
      </c>
      <c r="J22" s="124" t="s">
        <v>197</v>
      </c>
      <c r="K22" s="127" t="s">
        <v>198</v>
      </c>
      <c r="L22" s="128" t="s">
        <v>199</v>
      </c>
      <c r="M22" s="128" t="s">
        <v>200</v>
      </c>
      <c r="N22" s="127" t="s">
        <v>201</v>
      </c>
      <c r="O22" s="124" t="s">
        <v>202</v>
      </c>
      <c r="P22" s="124"/>
      <c r="Q22" s="124" t="s">
        <v>203</v>
      </c>
    </row>
    <row r="23" spans="1:17">
      <c r="A23">
        <v>1</v>
      </c>
      <c r="B23">
        <v>2027</v>
      </c>
      <c r="C23" s="115">
        <v>994.68499999999995</v>
      </c>
      <c r="D23" s="132">
        <f>C23*1000</f>
        <v>994685</v>
      </c>
      <c r="E23" s="133">
        <f>D13</f>
        <v>0.125</v>
      </c>
      <c r="F23" s="106">
        <f>E23*D23</f>
        <v>124335.625</v>
      </c>
      <c r="G23" s="130">
        <f>$D$2*D17*12/1000</f>
        <v>1080</v>
      </c>
      <c r="H23" s="131">
        <f>D16</f>
        <v>9.2480000000000011</v>
      </c>
      <c r="I23" s="113">
        <f>H23*G23</f>
        <v>9987.840000000002</v>
      </c>
      <c r="J23" s="123">
        <f>I23+F23</f>
        <v>134323.465</v>
      </c>
      <c r="K23" s="114">
        <f>-M23</f>
        <v>-73429.028178086824</v>
      </c>
      <c r="L23" s="117">
        <f>-PMT(D12,D11,D9)</f>
        <v>94331.803921302228</v>
      </c>
      <c r="M23" s="117">
        <f>L49*L48</f>
        <v>73429.028178086824</v>
      </c>
      <c r="N23" s="114">
        <f>-D10*D2</f>
        <v>-40500</v>
      </c>
      <c r="O23" s="125">
        <f t="shared" ref="O23:O42" si="0">SUM(K23,N23)</f>
        <v>-113929.02817808682</v>
      </c>
      <c r="P23" s="125"/>
      <c r="Q23" s="126">
        <f t="shared" ref="Q23:Q47" si="1">O23+J23</f>
        <v>20394.436821913172</v>
      </c>
    </row>
    <row r="24" spans="1:17">
      <c r="A24">
        <f>A23+1</f>
        <v>2</v>
      </c>
      <c r="B24">
        <f>B23+1</f>
        <v>2028</v>
      </c>
      <c r="C24" s="115">
        <v>989.71157500000004</v>
      </c>
      <c r="D24" s="132">
        <f t="shared" ref="D24:D47" si="2">C24*1000</f>
        <v>989711.57500000007</v>
      </c>
      <c r="E24" s="134">
        <f>E23*(1+$D$19)</f>
        <v>0.12875</v>
      </c>
      <c r="F24" s="106">
        <f t="shared" ref="F24:F47" si="3">E24*D24</f>
        <v>127425.36528125001</v>
      </c>
      <c r="G24" s="132">
        <f>G23*(1-$D$18)</f>
        <v>1074.5999999999999</v>
      </c>
      <c r="H24" s="116">
        <f>H23*(1+$D$19)</f>
        <v>9.5254400000000015</v>
      </c>
      <c r="I24" s="113">
        <f t="shared" ref="I24:I47" si="4">H24*G24</f>
        <v>10236.037824000001</v>
      </c>
      <c r="J24" s="123">
        <f t="shared" ref="J24:J47" si="5">I24+F24</f>
        <v>137661.40310525001</v>
      </c>
      <c r="K24" s="114">
        <f t="shared" ref="K24:K42" si="6">-M24</f>
        <v>-75631.899023429432</v>
      </c>
      <c r="L24" s="117">
        <f>L23</f>
        <v>94331.803921302228</v>
      </c>
      <c r="M24" s="117">
        <f>M23*1.03</f>
        <v>75631.899023429432</v>
      </c>
      <c r="N24" s="114">
        <f>N23*(1+$D$20)</f>
        <v>-41512.5</v>
      </c>
      <c r="O24" s="125">
        <f t="shared" si="0"/>
        <v>-117144.39902342943</v>
      </c>
      <c r="P24" s="125"/>
      <c r="Q24" s="126">
        <f t="shared" si="1"/>
        <v>20517.004081820574</v>
      </c>
    </row>
    <row r="25" spans="1:17">
      <c r="A25">
        <f t="shared" ref="A25:A46" si="7">A24+1</f>
        <v>3</v>
      </c>
      <c r="B25">
        <f t="shared" ref="B25:B42" si="8">B24+1</f>
        <v>2029</v>
      </c>
      <c r="C25" s="115">
        <v>984.76301712500003</v>
      </c>
      <c r="D25" s="132">
        <f t="shared" si="2"/>
        <v>984763.01712500001</v>
      </c>
      <c r="E25" s="134">
        <f t="shared" ref="E25:E47" si="9">E24*(1+$D$19)</f>
        <v>0.13261249999999999</v>
      </c>
      <c r="F25" s="106">
        <f t="shared" si="3"/>
        <v>130591.88560848906</v>
      </c>
      <c r="G25" s="132">
        <f t="shared" ref="G25:G47" si="10">G24*(1-$D$18)</f>
        <v>1069.2269999999999</v>
      </c>
      <c r="H25" s="116">
        <f t="shared" ref="H25:H47" si="11">H24*(1+$D$19)</f>
        <v>9.8112032000000013</v>
      </c>
      <c r="I25" s="113">
        <f t="shared" si="4"/>
        <v>10490.4033639264</v>
      </c>
      <c r="J25" s="123">
        <f t="shared" si="5"/>
        <v>141082.28897241547</v>
      </c>
      <c r="K25" s="114">
        <f t="shared" si="6"/>
        <v>-77900.855994132318</v>
      </c>
      <c r="L25" s="117">
        <f t="shared" ref="L25:L42" si="12">L24</f>
        <v>94331.803921302228</v>
      </c>
      <c r="M25" s="117">
        <f t="shared" ref="M25:M42" si="13">M24*1.03</f>
        <v>77900.855994132318</v>
      </c>
      <c r="N25" s="114">
        <f t="shared" ref="N25:N47" si="14">N24*(1+$D$20)</f>
        <v>-42550.312499999993</v>
      </c>
      <c r="O25" s="125">
        <f t="shared" si="0"/>
        <v>-120451.16849413232</v>
      </c>
      <c r="P25" s="125"/>
      <c r="Q25" s="126">
        <f t="shared" si="1"/>
        <v>20631.120478283148</v>
      </c>
    </row>
    <row r="26" spans="1:17">
      <c r="A26">
        <f t="shared" si="7"/>
        <v>4</v>
      </c>
      <c r="B26">
        <f t="shared" si="8"/>
        <v>2030</v>
      </c>
      <c r="C26" s="115">
        <v>979.8392020393751</v>
      </c>
      <c r="D26" s="132">
        <f t="shared" si="2"/>
        <v>979839.20203937509</v>
      </c>
      <c r="E26" s="134">
        <f t="shared" si="9"/>
        <v>0.136590875</v>
      </c>
      <c r="F26" s="106">
        <f t="shared" si="3"/>
        <v>133837.09396586003</v>
      </c>
      <c r="G26" s="132">
        <f t="shared" si="10"/>
        <v>1063.8808649999999</v>
      </c>
      <c r="H26" s="116">
        <f t="shared" si="11"/>
        <v>10.105539296000002</v>
      </c>
      <c r="I26" s="113">
        <f t="shared" si="4"/>
        <v>10751.089887519971</v>
      </c>
      <c r="J26" s="123">
        <f t="shared" si="5"/>
        <v>144588.18385338</v>
      </c>
      <c r="K26" s="114">
        <f t="shared" si="6"/>
        <v>-80237.88167395629</v>
      </c>
      <c r="L26" s="117">
        <f t="shared" si="12"/>
        <v>94331.803921302228</v>
      </c>
      <c r="M26" s="117">
        <f t="shared" si="13"/>
        <v>80237.88167395629</v>
      </c>
      <c r="N26" s="114">
        <f t="shared" si="14"/>
        <v>-43614.070312499985</v>
      </c>
      <c r="O26" s="125">
        <f t="shared" si="0"/>
        <v>-123851.95198645628</v>
      </c>
      <c r="P26" s="125"/>
      <c r="Q26" s="126">
        <f t="shared" si="1"/>
        <v>20736.231866923728</v>
      </c>
    </row>
    <row r="27" spans="1:17">
      <c r="A27">
        <f t="shared" si="7"/>
        <v>5</v>
      </c>
      <c r="B27">
        <f t="shared" si="8"/>
        <v>2031</v>
      </c>
      <c r="C27" s="115">
        <v>974.94000602917799</v>
      </c>
      <c r="D27" s="132">
        <f t="shared" si="2"/>
        <v>974940.00602917804</v>
      </c>
      <c r="E27" s="134">
        <f t="shared" si="9"/>
        <v>0.14068860125000002</v>
      </c>
      <c r="F27" s="106">
        <f t="shared" si="3"/>
        <v>137162.94575091163</v>
      </c>
      <c r="G27" s="132">
        <f t="shared" si="10"/>
        <v>1058.5614606749998</v>
      </c>
      <c r="H27" s="116">
        <f t="shared" si="11"/>
        <v>10.408705474880001</v>
      </c>
      <c r="I27" s="113">
        <f t="shared" si="4"/>
        <v>11018.254471224842</v>
      </c>
      <c r="J27" s="123">
        <f t="shared" si="5"/>
        <v>148181.20022213648</v>
      </c>
      <c r="K27" s="114">
        <f t="shared" si="6"/>
        <v>-82645.018124174981</v>
      </c>
      <c r="L27" s="117">
        <f t="shared" si="12"/>
        <v>94331.803921302228</v>
      </c>
      <c r="M27" s="117">
        <f t="shared" si="13"/>
        <v>82645.018124174981</v>
      </c>
      <c r="N27" s="114">
        <f t="shared" si="14"/>
        <v>-44704.422070312481</v>
      </c>
      <c r="O27" s="125">
        <f t="shared" si="0"/>
        <v>-127349.44019448746</v>
      </c>
      <c r="P27" s="125"/>
      <c r="Q27" s="126">
        <f t="shared" si="1"/>
        <v>20831.760027649027</v>
      </c>
    </row>
    <row r="28" spans="1:17">
      <c r="A28">
        <f t="shared" si="7"/>
        <v>6</v>
      </c>
      <c r="B28">
        <f t="shared" si="8"/>
        <v>2032</v>
      </c>
      <c r="C28" s="115">
        <v>970.06530599903226</v>
      </c>
      <c r="D28" s="132">
        <f t="shared" si="2"/>
        <v>970065.30599903222</v>
      </c>
      <c r="E28" s="134">
        <f t="shared" si="9"/>
        <v>0.14490925928750001</v>
      </c>
      <c r="F28" s="106">
        <f t="shared" si="3"/>
        <v>140571.4449528218</v>
      </c>
      <c r="G28" s="132">
        <f t="shared" si="10"/>
        <v>1053.2686533716249</v>
      </c>
      <c r="H28" s="116">
        <f t="shared" si="11"/>
        <v>10.720966639126402</v>
      </c>
      <c r="I28" s="113">
        <f t="shared" si="4"/>
        <v>11292.05809483478</v>
      </c>
      <c r="J28" s="123">
        <f t="shared" si="5"/>
        <v>151863.50304765659</v>
      </c>
      <c r="K28" s="114">
        <f t="shared" si="6"/>
        <v>-85124.368667900228</v>
      </c>
      <c r="L28" s="117">
        <f t="shared" si="12"/>
        <v>94331.803921302228</v>
      </c>
      <c r="M28" s="117">
        <f t="shared" si="13"/>
        <v>85124.368667900228</v>
      </c>
      <c r="N28" s="114">
        <f t="shared" si="14"/>
        <v>-45822.032622070292</v>
      </c>
      <c r="O28" s="125">
        <f t="shared" si="0"/>
        <v>-130946.40128997053</v>
      </c>
      <c r="P28" s="125"/>
      <c r="Q28" s="126">
        <f t="shared" si="1"/>
        <v>20917.101757686061</v>
      </c>
    </row>
    <row r="29" spans="1:17">
      <c r="A29">
        <f t="shared" si="7"/>
        <v>7</v>
      </c>
      <c r="B29">
        <f t="shared" si="8"/>
        <v>2033</v>
      </c>
      <c r="C29" s="115">
        <v>965.21497946903696</v>
      </c>
      <c r="D29" s="132">
        <f t="shared" si="2"/>
        <v>965214.97946903692</v>
      </c>
      <c r="E29" s="134">
        <f t="shared" si="9"/>
        <v>0.14925653706612502</v>
      </c>
      <c r="F29" s="106">
        <f t="shared" si="3"/>
        <v>144064.64535989941</v>
      </c>
      <c r="G29" s="132">
        <f t="shared" si="10"/>
        <v>1048.0023101047668</v>
      </c>
      <c r="H29" s="116">
        <f t="shared" si="11"/>
        <v>11.042595638300195</v>
      </c>
      <c r="I29" s="113">
        <f t="shared" si="4"/>
        <v>11572.665738491427</v>
      </c>
      <c r="J29" s="123">
        <f t="shared" si="5"/>
        <v>155637.31109839084</v>
      </c>
      <c r="K29" s="114">
        <f t="shared" si="6"/>
        <v>-87678.099727937239</v>
      </c>
      <c r="L29" s="117">
        <f t="shared" si="12"/>
        <v>94331.803921302228</v>
      </c>
      <c r="M29" s="117">
        <f t="shared" si="13"/>
        <v>87678.099727937239</v>
      </c>
      <c r="N29" s="114">
        <f t="shared" si="14"/>
        <v>-46967.583437622045</v>
      </c>
      <c r="O29" s="125">
        <f t="shared" si="0"/>
        <v>-134645.68316555928</v>
      </c>
      <c r="P29" s="125"/>
      <c r="Q29" s="126">
        <f t="shared" si="1"/>
        <v>20991.627932831558</v>
      </c>
    </row>
    <row r="30" spans="1:17">
      <c r="A30">
        <f t="shared" si="7"/>
        <v>8</v>
      </c>
      <c r="B30">
        <f t="shared" si="8"/>
        <v>2034</v>
      </c>
      <c r="C30" s="115">
        <v>960.38890457169191</v>
      </c>
      <c r="D30" s="132">
        <f t="shared" si="2"/>
        <v>960388.90457169188</v>
      </c>
      <c r="E30" s="134">
        <f t="shared" si="9"/>
        <v>0.15373423317810878</v>
      </c>
      <c r="F30" s="106">
        <f t="shared" si="3"/>
        <v>147644.65179709293</v>
      </c>
      <c r="G30" s="132">
        <f t="shared" si="10"/>
        <v>1042.762298554243</v>
      </c>
      <c r="H30" s="116">
        <f t="shared" si="11"/>
        <v>11.373873507449202</v>
      </c>
      <c r="I30" s="113">
        <f t="shared" si="4"/>
        <v>11860.24648209294</v>
      </c>
      <c r="J30" s="123">
        <f t="shared" si="5"/>
        <v>159504.89827918587</v>
      </c>
      <c r="K30" s="114">
        <f t="shared" si="6"/>
        <v>-90308.442719775354</v>
      </c>
      <c r="L30" s="117">
        <f t="shared" si="12"/>
        <v>94331.803921302228</v>
      </c>
      <c r="M30" s="117">
        <f t="shared" si="13"/>
        <v>90308.442719775354</v>
      </c>
      <c r="N30" s="114">
        <f t="shared" si="14"/>
        <v>-48141.773023562593</v>
      </c>
      <c r="O30" s="125">
        <f t="shared" si="0"/>
        <v>-138450.21574333793</v>
      </c>
      <c r="P30" s="125"/>
      <c r="Q30" s="126">
        <f t="shared" si="1"/>
        <v>21054.68253584794</v>
      </c>
    </row>
    <row r="31" spans="1:17">
      <c r="A31">
        <f t="shared" si="7"/>
        <v>9</v>
      </c>
      <c r="B31">
        <f t="shared" si="8"/>
        <v>2035</v>
      </c>
      <c r="C31" s="115">
        <v>955.58696004883325</v>
      </c>
      <c r="D31" s="132">
        <f t="shared" si="2"/>
        <v>955586.96004883328</v>
      </c>
      <c r="E31" s="134">
        <f t="shared" si="9"/>
        <v>0.15834626017345205</v>
      </c>
      <c r="F31" s="106">
        <f t="shared" si="3"/>
        <v>151313.62139425069</v>
      </c>
      <c r="G31" s="132">
        <f t="shared" si="10"/>
        <v>1037.5484870614719</v>
      </c>
      <c r="H31" s="116">
        <f t="shared" si="11"/>
        <v>11.715089712672679</v>
      </c>
      <c r="I31" s="113">
        <f t="shared" si="4"/>
        <v>12154.973607172951</v>
      </c>
      <c r="J31" s="123">
        <f t="shared" si="5"/>
        <v>163468.59500142364</v>
      </c>
      <c r="K31" s="114">
        <f t="shared" si="6"/>
        <v>-93017.696001368618</v>
      </c>
      <c r="L31" s="117">
        <f t="shared" si="12"/>
        <v>94331.803921302228</v>
      </c>
      <c r="M31" s="117">
        <f t="shared" si="13"/>
        <v>93017.696001368618</v>
      </c>
      <c r="N31" s="114">
        <f t="shared" si="14"/>
        <v>-49345.317349151657</v>
      </c>
      <c r="O31" s="125">
        <f t="shared" si="0"/>
        <v>-142363.01335052028</v>
      </c>
      <c r="P31" s="125"/>
      <c r="Q31" s="126">
        <f t="shared" si="1"/>
        <v>21105.581650903361</v>
      </c>
    </row>
    <row r="32" spans="1:17">
      <c r="A32">
        <f t="shared" si="7"/>
        <v>10</v>
      </c>
      <c r="B32">
        <f t="shared" si="8"/>
        <v>2036</v>
      </c>
      <c r="C32" s="115">
        <v>950.80902524858914</v>
      </c>
      <c r="D32" s="132">
        <f t="shared" si="2"/>
        <v>950809.02524858911</v>
      </c>
      <c r="E32" s="134">
        <f t="shared" si="9"/>
        <v>0.16309664797865561</v>
      </c>
      <c r="F32" s="106">
        <f t="shared" si="3"/>
        <v>155073.76488589781</v>
      </c>
      <c r="G32" s="132">
        <f t="shared" si="10"/>
        <v>1032.3607446261644</v>
      </c>
      <c r="H32" s="116">
        <f t="shared" si="11"/>
        <v>12.066542404052859</v>
      </c>
      <c r="I32" s="113">
        <f t="shared" si="4"/>
        <v>12457.024701311198</v>
      </c>
      <c r="J32" s="123">
        <f t="shared" si="5"/>
        <v>167530.789587209</v>
      </c>
      <c r="K32" s="114">
        <f t="shared" si="6"/>
        <v>-95808.226881409675</v>
      </c>
      <c r="L32" s="117">
        <f t="shared" si="12"/>
        <v>94331.803921302228</v>
      </c>
      <c r="M32" s="117">
        <f t="shared" si="13"/>
        <v>95808.226881409675</v>
      </c>
      <c r="N32" s="114">
        <f t="shared" si="14"/>
        <v>-50578.950282880447</v>
      </c>
      <c r="O32" s="125">
        <f t="shared" si="0"/>
        <v>-146387.17716429013</v>
      </c>
      <c r="P32" s="125"/>
      <c r="Q32" s="126">
        <f t="shared" si="1"/>
        <v>21143.612422918872</v>
      </c>
    </row>
    <row r="33" spans="1:17">
      <c r="A33">
        <f t="shared" si="7"/>
        <v>11</v>
      </c>
      <c r="B33">
        <f t="shared" si="8"/>
        <v>2037</v>
      </c>
      <c r="C33" s="115">
        <v>946.05498012234636</v>
      </c>
      <c r="D33" s="132">
        <f t="shared" si="2"/>
        <v>946054.98012234631</v>
      </c>
      <c r="E33" s="134">
        <f t="shared" si="9"/>
        <v>0.16798954741801528</v>
      </c>
      <c r="F33" s="106">
        <f t="shared" si="3"/>
        <v>158927.3479433124</v>
      </c>
      <c r="G33" s="132">
        <f t="shared" si="10"/>
        <v>1027.1989409030336</v>
      </c>
      <c r="H33" s="116">
        <f t="shared" si="11"/>
        <v>12.428538676174444</v>
      </c>
      <c r="I33" s="113">
        <f t="shared" si="4"/>
        <v>12766.581765138781</v>
      </c>
      <c r="J33" s="123">
        <f t="shared" si="5"/>
        <v>171693.92970845118</v>
      </c>
      <c r="K33" s="114">
        <f t="shared" si="6"/>
        <v>-98682.473687851962</v>
      </c>
      <c r="L33" s="117">
        <f t="shared" si="12"/>
        <v>94331.803921302228</v>
      </c>
      <c r="M33" s="117">
        <f t="shared" si="13"/>
        <v>98682.473687851962</v>
      </c>
      <c r="N33" s="114">
        <f t="shared" si="14"/>
        <v>-51843.424039952457</v>
      </c>
      <c r="O33" s="125">
        <f t="shared" si="0"/>
        <v>-150525.89772780443</v>
      </c>
      <c r="P33" s="125"/>
      <c r="Q33" s="126">
        <f t="shared" si="1"/>
        <v>21168.031980646745</v>
      </c>
    </row>
    <row r="34" spans="1:17">
      <c r="A34">
        <f t="shared" si="7"/>
        <v>12</v>
      </c>
      <c r="B34">
        <f t="shared" si="8"/>
        <v>2038</v>
      </c>
      <c r="C34" s="115">
        <v>941.32470522173435</v>
      </c>
      <c r="D34" s="132">
        <f t="shared" si="2"/>
        <v>941324.70522173436</v>
      </c>
      <c r="E34" s="134">
        <f t="shared" si="9"/>
        <v>0.17302923384055574</v>
      </c>
      <c r="F34" s="106">
        <f t="shared" si="3"/>
        <v>162876.69253970368</v>
      </c>
      <c r="G34" s="132">
        <f t="shared" si="10"/>
        <v>1022.0629461985185</v>
      </c>
      <c r="H34" s="116">
        <f t="shared" si="11"/>
        <v>12.801394836459679</v>
      </c>
      <c r="I34" s="113">
        <f t="shared" si="4"/>
        <v>13083.831322002481</v>
      </c>
      <c r="J34" s="123">
        <f t="shared" si="5"/>
        <v>175960.52386170617</v>
      </c>
      <c r="K34" s="114">
        <f t="shared" si="6"/>
        <v>-101642.94789848752</v>
      </c>
      <c r="L34" s="117">
        <f t="shared" si="12"/>
        <v>94331.803921302228</v>
      </c>
      <c r="M34" s="117">
        <f t="shared" si="13"/>
        <v>101642.94789848752</v>
      </c>
      <c r="N34" s="114">
        <f t="shared" si="14"/>
        <v>-53139.509640951263</v>
      </c>
      <c r="O34" s="125">
        <f t="shared" si="0"/>
        <v>-154782.45753943879</v>
      </c>
      <c r="P34" s="125"/>
      <c r="Q34" s="126">
        <f t="shared" si="1"/>
        <v>21178.066322267376</v>
      </c>
    </row>
    <row r="35" spans="1:17">
      <c r="A35">
        <f t="shared" si="7"/>
        <v>13</v>
      </c>
      <c r="B35">
        <f t="shared" si="8"/>
        <v>2039</v>
      </c>
      <c r="C35" s="115">
        <v>936.61808169562585</v>
      </c>
      <c r="D35" s="132">
        <f t="shared" si="2"/>
        <v>936618.08169562579</v>
      </c>
      <c r="E35" s="134">
        <f t="shared" si="9"/>
        <v>0.17822011085577241</v>
      </c>
      <c r="F35" s="106">
        <f t="shared" si="3"/>
        <v>166924.17834931533</v>
      </c>
      <c r="G35" s="132">
        <f t="shared" si="10"/>
        <v>1016.9526314675259</v>
      </c>
      <c r="H35" s="116">
        <f t="shared" si="11"/>
        <v>13.185436681553469</v>
      </c>
      <c r="I35" s="113">
        <f t="shared" si="4"/>
        <v>13408.964530354242</v>
      </c>
      <c r="J35" s="123">
        <f t="shared" si="5"/>
        <v>180333.14287966958</v>
      </c>
      <c r="K35" s="114">
        <f t="shared" si="6"/>
        <v>-104692.23633544214</v>
      </c>
      <c r="L35" s="117">
        <f t="shared" si="12"/>
        <v>94331.803921302228</v>
      </c>
      <c r="M35" s="117">
        <f t="shared" si="13"/>
        <v>104692.23633544214</v>
      </c>
      <c r="N35" s="114">
        <f t="shared" si="14"/>
        <v>-54467.997381975038</v>
      </c>
      <c r="O35" s="125">
        <f t="shared" si="0"/>
        <v>-159160.23371741717</v>
      </c>
      <c r="P35" s="125"/>
      <c r="Q35" s="126">
        <f t="shared" si="1"/>
        <v>21172.909162252414</v>
      </c>
    </row>
    <row r="36" spans="1:17">
      <c r="A36">
        <f t="shared" si="7"/>
        <v>14</v>
      </c>
      <c r="B36">
        <f t="shared" si="8"/>
        <v>2040</v>
      </c>
      <c r="C36" s="115">
        <v>931.9349912871478</v>
      </c>
      <c r="D36" s="132">
        <f t="shared" si="2"/>
        <v>931934.99128714774</v>
      </c>
      <c r="E36" s="134">
        <f t="shared" si="9"/>
        <v>0.1835667141814456</v>
      </c>
      <c r="F36" s="106">
        <f t="shared" si="3"/>
        <v>171072.24418129586</v>
      </c>
      <c r="G36" s="132">
        <f t="shared" si="10"/>
        <v>1011.8678683101882</v>
      </c>
      <c r="H36" s="116">
        <f t="shared" si="11"/>
        <v>13.580999782000074</v>
      </c>
      <c r="I36" s="113">
        <f t="shared" si="4"/>
        <v>13742.177298933546</v>
      </c>
      <c r="J36" s="123">
        <f t="shared" si="5"/>
        <v>184814.42148022942</v>
      </c>
      <c r="K36" s="114">
        <f t="shared" si="6"/>
        <v>-107833.00342550541</v>
      </c>
      <c r="L36" s="117">
        <f t="shared" si="12"/>
        <v>94331.803921302228</v>
      </c>
      <c r="M36" s="117">
        <f t="shared" si="13"/>
        <v>107833.00342550541</v>
      </c>
      <c r="N36" s="114">
        <f t="shared" si="14"/>
        <v>-55829.697316524405</v>
      </c>
      <c r="O36" s="125">
        <f t="shared" si="0"/>
        <v>-163662.70074202982</v>
      </c>
      <c r="P36" s="125"/>
      <c r="Q36" s="126">
        <f t="shared" si="1"/>
        <v>21151.720738199598</v>
      </c>
    </row>
    <row r="37" spans="1:17">
      <c r="A37">
        <f t="shared" si="7"/>
        <v>15</v>
      </c>
      <c r="B37">
        <f t="shared" si="8"/>
        <v>2041</v>
      </c>
      <c r="C37" s="115">
        <v>927.27531633071203</v>
      </c>
      <c r="D37" s="132">
        <f t="shared" si="2"/>
        <v>927275.31633071206</v>
      </c>
      <c r="E37" s="134">
        <f t="shared" si="9"/>
        <v>0.18907371560688899</v>
      </c>
      <c r="F37" s="106">
        <f t="shared" si="3"/>
        <v>175323.38944920109</v>
      </c>
      <c r="G37" s="132">
        <f t="shared" si="10"/>
        <v>1006.8085289686372</v>
      </c>
      <c r="H37" s="116">
        <f t="shared" si="11"/>
        <v>13.988429775460077</v>
      </c>
      <c r="I37" s="113">
        <f t="shared" si="4"/>
        <v>14083.670404812045</v>
      </c>
      <c r="J37" s="123">
        <f t="shared" si="5"/>
        <v>189407.05985401315</v>
      </c>
      <c r="K37" s="114">
        <f t="shared" si="6"/>
        <v>-111067.99352827057</v>
      </c>
      <c r="L37" s="117">
        <f t="shared" si="12"/>
        <v>94331.803921302228</v>
      </c>
      <c r="M37" s="117">
        <f t="shared" si="13"/>
        <v>111067.99352827057</v>
      </c>
      <c r="N37" s="114">
        <f t="shared" si="14"/>
        <v>-57225.439749437508</v>
      </c>
      <c r="O37" s="125">
        <f t="shared" si="0"/>
        <v>-168293.43327770807</v>
      </c>
      <c r="P37" s="125"/>
      <c r="Q37" s="126">
        <f t="shared" si="1"/>
        <v>21113.626576305076</v>
      </c>
    </row>
    <row r="38" spans="1:17">
      <c r="A38">
        <f t="shared" si="7"/>
        <v>16</v>
      </c>
      <c r="B38">
        <f t="shared" si="8"/>
        <v>2042</v>
      </c>
      <c r="C38" s="115">
        <v>922.63893974905852</v>
      </c>
      <c r="D38" s="132">
        <f t="shared" si="2"/>
        <v>922638.93974905857</v>
      </c>
      <c r="E38" s="134">
        <f t="shared" si="9"/>
        <v>0.19474592707509567</v>
      </c>
      <c r="F38" s="106">
        <f t="shared" si="3"/>
        <v>179680.17567701373</v>
      </c>
      <c r="G38" s="132">
        <f t="shared" si="10"/>
        <v>1001.774486323794</v>
      </c>
      <c r="H38" s="116">
        <f t="shared" si="11"/>
        <v>14.40808266872388</v>
      </c>
      <c r="I38" s="113">
        <f t="shared" si="4"/>
        <v>14433.649614371625</v>
      </c>
      <c r="J38" s="123">
        <f t="shared" si="5"/>
        <v>194113.82529138535</v>
      </c>
      <c r="K38" s="114">
        <f t="shared" si="6"/>
        <v>-114400.03333411869</v>
      </c>
      <c r="L38" s="117">
        <f t="shared" si="12"/>
        <v>94331.803921302228</v>
      </c>
      <c r="M38" s="117">
        <f t="shared" si="13"/>
        <v>114400.03333411869</v>
      </c>
      <c r="N38" s="114">
        <f t="shared" si="14"/>
        <v>-58656.075743173438</v>
      </c>
      <c r="O38" s="125">
        <f t="shared" si="0"/>
        <v>-173056.10907729215</v>
      </c>
      <c r="P38" s="125"/>
      <c r="Q38" s="126">
        <f t="shared" si="1"/>
        <v>21057.716214093205</v>
      </c>
    </row>
    <row r="39" spans="1:17">
      <c r="A39">
        <f t="shared" si="7"/>
        <v>17</v>
      </c>
      <c r="B39">
        <f t="shared" si="8"/>
        <v>2043</v>
      </c>
      <c r="C39" s="115">
        <v>918.02574505031293</v>
      </c>
      <c r="D39" s="132">
        <f t="shared" si="2"/>
        <v>918025.74505031295</v>
      </c>
      <c r="E39" s="134">
        <f t="shared" si="9"/>
        <v>0.20058830488734855</v>
      </c>
      <c r="F39" s="106">
        <f t="shared" si="3"/>
        <v>184145.22804258749</v>
      </c>
      <c r="G39" s="132">
        <f t="shared" si="10"/>
        <v>996.765613892175</v>
      </c>
      <c r="H39" s="116">
        <f t="shared" si="11"/>
        <v>14.840325148785597</v>
      </c>
      <c r="I39" s="113">
        <f t="shared" si="4"/>
        <v>14792.325807288758</v>
      </c>
      <c r="J39" s="123">
        <f t="shared" si="5"/>
        <v>198937.55384987625</v>
      </c>
      <c r="K39" s="114">
        <f t="shared" si="6"/>
        <v>-117832.03433414226</v>
      </c>
      <c r="L39" s="117">
        <f t="shared" si="12"/>
        <v>94331.803921302228</v>
      </c>
      <c r="M39" s="117">
        <f t="shared" si="13"/>
        <v>117832.03433414226</v>
      </c>
      <c r="N39" s="114">
        <f t="shared" si="14"/>
        <v>-60122.477636752767</v>
      </c>
      <c r="O39" s="125">
        <f t="shared" si="0"/>
        <v>-177954.51197089502</v>
      </c>
      <c r="P39" s="125"/>
      <c r="Q39" s="126">
        <f t="shared" si="1"/>
        <v>20983.041878981225</v>
      </c>
    </row>
    <row r="40" spans="1:17">
      <c r="A40">
        <f t="shared" si="7"/>
        <v>18</v>
      </c>
      <c r="B40">
        <f t="shared" si="8"/>
        <v>2044</v>
      </c>
      <c r="C40" s="115">
        <v>913.43561632506157</v>
      </c>
      <c r="D40" s="132">
        <f t="shared" si="2"/>
        <v>913435.61632506154</v>
      </c>
      <c r="E40" s="134">
        <f t="shared" si="9"/>
        <v>0.206605954033969</v>
      </c>
      <c r="F40" s="106">
        <f t="shared" si="3"/>
        <v>188721.23695944581</v>
      </c>
      <c r="G40" s="132">
        <f t="shared" si="10"/>
        <v>991.78178582271414</v>
      </c>
      <c r="H40" s="116">
        <f t="shared" si="11"/>
        <v>15.285534903249166</v>
      </c>
      <c r="I40" s="113">
        <f t="shared" si="4"/>
        <v>15159.915103599886</v>
      </c>
      <c r="J40" s="123">
        <f t="shared" si="5"/>
        <v>203881.15206304571</v>
      </c>
      <c r="K40" s="114">
        <f t="shared" si="6"/>
        <v>-121366.99536416652</v>
      </c>
      <c r="L40" s="117">
        <f t="shared" si="12"/>
        <v>94331.803921302228</v>
      </c>
      <c r="M40" s="117">
        <f t="shared" si="13"/>
        <v>121366.99536416652</v>
      </c>
      <c r="N40" s="114">
        <f t="shared" si="14"/>
        <v>-61625.539577671581</v>
      </c>
      <c r="O40" s="125">
        <f t="shared" si="0"/>
        <v>-182992.53494183809</v>
      </c>
      <c r="P40" s="125"/>
      <c r="Q40" s="126">
        <f t="shared" si="1"/>
        <v>20888.617121207615</v>
      </c>
    </row>
    <row r="41" spans="1:17">
      <c r="A41">
        <f t="shared" si="7"/>
        <v>19</v>
      </c>
      <c r="B41">
        <f t="shared" si="8"/>
        <v>2045</v>
      </c>
      <c r="C41" s="115">
        <v>908.86843824343612</v>
      </c>
      <c r="D41" s="132">
        <f t="shared" si="2"/>
        <v>908868.43824343616</v>
      </c>
      <c r="E41" s="134">
        <f t="shared" si="9"/>
        <v>0.21280413265498807</v>
      </c>
      <c r="F41" s="106">
        <f t="shared" si="3"/>
        <v>193410.95969788803</v>
      </c>
      <c r="G41" s="132">
        <f t="shared" si="10"/>
        <v>986.82287689360055</v>
      </c>
      <c r="H41" s="116">
        <f t="shared" si="11"/>
        <v>15.744100950346642</v>
      </c>
      <c r="I41" s="113">
        <f t="shared" si="4"/>
        <v>15536.638993924344</v>
      </c>
      <c r="J41" s="123">
        <f t="shared" si="5"/>
        <v>208947.59869181237</v>
      </c>
      <c r="K41" s="114">
        <f t="shared" si="6"/>
        <v>-125008.00522509152</v>
      </c>
      <c r="L41" s="117">
        <f t="shared" si="12"/>
        <v>94331.803921302228</v>
      </c>
      <c r="M41" s="117">
        <f t="shared" si="13"/>
        <v>125008.00522509152</v>
      </c>
      <c r="N41" s="114">
        <f t="shared" si="14"/>
        <v>-63166.178067113367</v>
      </c>
      <c r="O41" s="125">
        <f t="shared" si="0"/>
        <v>-188174.18329220489</v>
      </c>
      <c r="P41" s="125"/>
      <c r="Q41" s="126">
        <f t="shared" si="1"/>
        <v>20773.415399607475</v>
      </c>
    </row>
    <row r="42" spans="1:17">
      <c r="A42">
        <f t="shared" si="7"/>
        <v>20</v>
      </c>
      <c r="B42">
        <f t="shared" si="8"/>
        <v>2046</v>
      </c>
      <c r="C42" s="115">
        <v>904.32409605221892</v>
      </c>
      <c r="D42" s="132">
        <f t="shared" si="2"/>
        <v>904324.09605221893</v>
      </c>
      <c r="E42" s="134">
        <f t="shared" si="9"/>
        <v>0.21918825663463773</v>
      </c>
      <c r="F42" s="106">
        <f t="shared" si="3"/>
        <v>198217.22204638054</v>
      </c>
      <c r="G42" s="132">
        <f t="shared" si="10"/>
        <v>981.88876250913256</v>
      </c>
      <c r="H42" s="116">
        <f t="shared" si="11"/>
        <v>16.216423978857041</v>
      </c>
      <c r="I42" s="113">
        <f t="shared" si="4"/>
        <v>15922.724472923363</v>
      </c>
      <c r="J42" s="123">
        <f t="shared" si="5"/>
        <v>214139.94651930389</v>
      </c>
      <c r="K42" s="114">
        <f t="shared" si="6"/>
        <v>-128758.24538184427</v>
      </c>
      <c r="L42" s="117">
        <f t="shared" si="12"/>
        <v>94331.803921302228</v>
      </c>
      <c r="M42" s="117">
        <f t="shared" si="13"/>
        <v>128758.24538184427</v>
      </c>
      <c r="N42" s="114">
        <f t="shared" si="14"/>
        <v>-64745.332518791198</v>
      </c>
      <c r="O42" s="125">
        <f t="shared" si="0"/>
        <v>-193503.57790063549</v>
      </c>
      <c r="P42" s="125"/>
      <c r="Q42" s="126">
        <f t="shared" si="1"/>
        <v>20636.368618668406</v>
      </c>
    </row>
    <row r="43" spans="1:17">
      <c r="A43">
        <f>A42+1</f>
        <v>21</v>
      </c>
      <c r="B43">
        <f>B42+1</f>
        <v>2047</v>
      </c>
      <c r="C43" s="115">
        <f>C42*0.995</f>
        <v>899.80247557195787</v>
      </c>
      <c r="D43" s="132">
        <f t="shared" si="2"/>
        <v>899802.47557195788</v>
      </c>
      <c r="E43" s="134">
        <f t="shared" si="9"/>
        <v>0.22576390433367688</v>
      </c>
      <c r="F43" s="106">
        <f t="shared" si="3"/>
        <v>203142.92001423312</v>
      </c>
      <c r="G43" s="132">
        <f t="shared" si="10"/>
        <v>976.97931869658692</v>
      </c>
      <c r="H43" s="116">
        <f t="shared" si="11"/>
        <v>16.702916698222751</v>
      </c>
      <c r="I43" s="113">
        <f t="shared" si="4"/>
        <v>16318.404176075508</v>
      </c>
      <c r="J43" s="123">
        <f t="shared" si="5"/>
        <v>219461.32419030863</v>
      </c>
      <c r="K43" s="114">
        <v>0</v>
      </c>
      <c r="L43" s="117"/>
      <c r="M43" s="117"/>
      <c r="N43" s="114">
        <f t="shared" si="14"/>
        <v>-66363.965831760972</v>
      </c>
      <c r="O43" s="125">
        <f t="shared" ref="O43:O47" si="15">SUM(K43,N43)</f>
        <v>-66363.965831760972</v>
      </c>
      <c r="P43" s="125"/>
      <c r="Q43" s="126">
        <f t="shared" si="1"/>
        <v>153097.35835854767</v>
      </c>
    </row>
    <row r="44" spans="1:17">
      <c r="A44">
        <f t="shared" si="7"/>
        <v>22</v>
      </c>
      <c r="B44">
        <f t="shared" ref="B44:B47" si="16">B43+1</f>
        <v>2048</v>
      </c>
      <c r="C44" s="115">
        <f t="shared" ref="C44:C47" si="17">C43*0.995</f>
        <v>895.30346319409807</v>
      </c>
      <c r="D44" s="132">
        <f t="shared" si="2"/>
        <v>895303.46319409809</v>
      </c>
      <c r="E44" s="134">
        <f t="shared" si="9"/>
        <v>0.2325368214636872</v>
      </c>
      <c r="F44" s="106">
        <f t="shared" si="3"/>
        <v>208191.02157658685</v>
      </c>
      <c r="G44" s="132">
        <f t="shared" si="10"/>
        <v>972.09442210310397</v>
      </c>
      <c r="H44" s="116">
        <f t="shared" si="11"/>
        <v>17.204004199169432</v>
      </c>
      <c r="I44" s="113">
        <f t="shared" si="4"/>
        <v>16723.916519850984</v>
      </c>
      <c r="J44" s="123">
        <f t="shared" si="5"/>
        <v>224914.93809643784</v>
      </c>
      <c r="K44" s="114">
        <v>0</v>
      </c>
      <c r="L44" s="117"/>
      <c r="M44" s="117"/>
      <c r="N44" s="114">
        <f t="shared" si="14"/>
        <v>-68023.064977554997</v>
      </c>
      <c r="O44" s="125">
        <f t="shared" si="15"/>
        <v>-68023.064977554997</v>
      </c>
      <c r="P44" s="125"/>
      <c r="Q44" s="126">
        <f t="shared" si="1"/>
        <v>156891.87311888282</v>
      </c>
    </row>
    <row r="45" spans="1:17">
      <c r="A45">
        <f t="shared" si="7"/>
        <v>23</v>
      </c>
      <c r="B45">
        <f t="shared" si="16"/>
        <v>2049</v>
      </c>
      <c r="C45" s="115">
        <f t="shared" si="17"/>
        <v>890.82694587812762</v>
      </c>
      <c r="D45" s="132">
        <f t="shared" si="2"/>
        <v>890826.94587812759</v>
      </c>
      <c r="E45" s="134">
        <f t="shared" si="9"/>
        <v>0.23951292610759783</v>
      </c>
      <c r="F45" s="106">
        <f t="shared" si="3"/>
        <v>213364.56846276502</v>
      </c>
      <c r="G45" s="132">
        <f t="shared" si="10"/>
        <v>967.23394999258846</v>
      </c>
      <c r="H45" s="116">
        <f t="shared" si="11"/>
        <v>17.720124325144514</v>
      </c>
      <c r="I45" s="113">
        <f t="shared" si="4"/>
        <v>17139.50584536928</v>
      </c>
      <c r="J45" s="123">
        <f t="shared" si="5"/>
        <v>230504.0743081343</v>
      </c>
      <c r="K45" s="114">
        <v>0</v>
      </c>
      <c r="L45" s="117"/>
      <c r="M45" s="117"/>
      <c r="N45" s="114">
        <f t="shared" si="14"/>
        <v>-69723.641601993862</v>
      </c>
      <c r="O45" s="125">
        <f t="shared" si="15"/>
        <v>-69723.641601993862</v>
      </c>
      <c r="P45" s="125"/>
      <c r="Q45" s="126">
        <f t="shared" si="1"/>
        <v>160780.43270614045</v>
      </c>
    </row>
    <row r="46" spans="1:17">
      <c r="A46">
        <f t="shared" si="7"/>
        <v>24</v>
      </c>
      <c r="B46">
        <f t="shared" si="16"/>
        <v>2050</v>
      </c>
      <c r="C46" s="115">
        <f t="shared" si="17"/>
        <v>886.37281114873701</v>
      </c>
      <c r="D46" s="132">
        <f t="shared" si="2"/>
        <v>886372.81114873698</v>
      </c>
      <c r="E46" s="134">
        <f t="shared" si="9"/>
        <v>0.24669831389082578</v>
      </c>
      <c r="F46" s="106">
        <f t="shared" si="3"/>
        <v>218666.67798906474</v>
      </c>
      <c r="G46" s="132">
        <f t="shared" si="10"/>
        <v>962.39778024262557</v>
      </c>
      <c r="H46" s="116">
        <f t="shared" si="11"/>
        <v>18.251728054898852</v>
      </c>
      <c r="I46" s="113">
        <f t="shared" si="4"/>
        <v>17565.422565626708</v>
      </c>
      <c r="J46" s="123">
        <f t="shared" si="5"/>
        <v>236232.10055469145</v>
      </c>
      <c r="K46" s="114">
        <v>0</v>
      </c>
      <c r="L46" s="117"/>
      <c r="M46" s="117"/>
      <c r="N46" s="114">
        <f t="shared" si="14"/>
        <v>-71466.732642043702</v>
      </c>
      <c r="O46" s="125">
        <f t="shared" si="15"/>
        <v>-71466.732642043702</v>
      </c>
      <c r="P46" s="125"/>
      <c r="Q46" s="126">
        <f t="shared" si="1"/>
        <v>164765.36791264775</v>
      </c>
    </row>
    <row r="47" spans="1:17">
      <c r="A47">
        <f>A46+1</f>
        <v>25</v>
      </c>
      <c r="B47">
        <f t="shared" si="16"/>
        <v>2051</v>
      </c>
      <c r="C47" s="115">
        <f t="shared" si="17"/>
        <v>881.94094709299327</v>
      </c>
      <c r="D47" s="132">
        <f t="shared" si="2"/>
        <v>881940.9470929933</v>
      </c>
      <c r="E47" s="134">
        <f t="shared" si="9"/>
        <v>0.25409926330755056</v>
      </c>
      <c r="F47" s="106">
        <f t="shared" si="3"/>
        <v>224100.54493709301</v>
      </c>
      <c r="G47" s="132">
        <f t="shared" si="10"/>
        <v>957.58579134141246</v>
      </c>
      <c r="H47" s="116">
        <f t="shared" si="11"/>
        <v>18.799279896545819</v>
      </c>
      <c r="I47" s="113">
        <f t="shared" si="4"/>
        <v>18001.923316382534</v>
      </c>
      <c r="J47" s="123">
        <f t="shared" si="5"/>
        <v>242102.46825347556</v>
      </c>
      <c r="K47" s="114">
        <v>0</v>
      </c>
      <c r="L47" s="117"/>
      <c r="M47" s="117"/>
      <c r="N47" s="114">
        <f t="shared" si="14"/>
        <v>-73253.40095809479</v>
      </c>
      <c r="O47" s="125">
        <f t="shared" si="15"/>
        <v>-73253.40095809479</v>
      </c>
      <c r="P47" s="125"/>
      <c r="Q47" s="126">
        <f t="shared" si="1"/>
        <v>168849.06729538075</v>
      </c>
    </row>
    <row r="48" spans="1:17">
      <c r="C48" s="115">
        <f>SUM((C22:C47))</f>
        <v>23430.751528494304</v>
      </c>
      <c r="D48" s="115">
        <f>SUM((D22:D47))</f>
        <v>23430751.528494302</v>
      </c>
      <c r="F48" s="115">
        <f>SUM((F22:F47))</f>
        <v>4238785.4518623604</v>
      </c>
      <c r="I48" s="115">
        <f>SUM((I22:I47))</f>
        <v>340500.24590722861</v>
      </c>
      <c r="J48" s="115">
        <f>SUM((J22:J47))</f>
        <v>4579285.6977695888</v>
      </c>
      <c r="K48" s="115">
        <f>SUM((K22:K47))</f>
        <v>-1973065.4855070917</v>
      </c>
      <c r="L48" s="118">
        <f>SUM(L22:L42)</f>
        <v>1886636.0784260451</v>
      </c>
      <c r="M48" s="119">
        <f>SUM(M23:M42)</f>
        <v>1973065.4855070917</v>
      </c>
      <c r="N48" s="115">
        <f>SUM((N22:N47))</f>
        <v>-1383389.4392818909</v>
      </c>
      <c r="O48" s="115">
        <f>SUM((O22:O47))</f>
        <v>-3356454.9247889826</v>
      </c>
      <c r="Q48" s="118">
        <f>SUM((Q22:Q47))</f>
        <v>1222830.7729806062</v>
      </c>
    </row>
    <row r="49" spans="12:12">
      <c r="L49" s="115">
        <v>3.8920610613651631E-2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Vlada Shelkova</dc:creator>
  <cp:keywords/>
  <dc:description/>
  <cp:lastModifiedBy>Thickitt, Jenn</cp:lastModifiedBy>
  <cp:revision/>
  <dcterms:created xsi:type="dcterms:W3CDTF">2024-03-06T20:38:48Z</dcterms:created>
  <dcterms:modified xsi:type="dcterms:W3CDTF">2024-07-29T17:47:24Z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-531667806</vt:i4>
  </property>
  <property fmtid="{D5CDD505-2E9C-101B-9397-08002B2CF9AE}" pid="3" name="_NewReviewCycle">
    <vt:lpwstr/>
  </property>
  <property fmtid="{D5CDD505-2E9C-101B-9397-08002B2CF9AE}" pid="4" name="_EmailSubject">
    <vt:lpwstr>Vehicle Emissions</vt:lpwstr>
  </property>
  <property fmtid="{D5CDD505-2E9C-101B-9397-08002B2CF9AE}" pid="5" name="_AuthorEmail">
    <vt:lpwstr>Aldo.Mazzaferro@nv5.com</vt:lpwstr>
  </property>
  <property fmtid="{D5CDD505-2E9C-101B-9397-08002B2CF9AE}" pid="6" name="_AuthorEmailDisplayName">
    <vt:lpwstr>Aldo Mazzaferro</vt:lpwstr>
  </property>
  <property fmtid="{D5CDD505-2E9C-101B-9397-08002B2CF9AE}" pid="7" name="_PreviousAdHocReviewCycleID">
    <vt:i4>-144080881</vt:i4>
  </property>
  <property fmtid="{D5CDD505-2E9C-101B-9397-08002B2CF9AE}" pid="8" name="_ReviewingToolsShownOnce">
    <vt:lpwstr/>
  </property>
</Properties>
</file>