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https://hazenandsawyer.sharepoint.com/teams/20043-013/Deliverables/GHG Emissions Quantification/"/>
    </mc:Choice>
  </mc:AlternateContent>
  <xr:revisionPtr revIDLastSave="1014" documentId="8_{4B242EF5-3F82-4EFD-AE2A-44114BDA4557}" xr6:coauthVersionLast="47" xr6:coauthVersionMax="47" xr10:uidLastSave="{B35F6FA1-CF54-4A27-B158-A1AAF6C38B8A}"/>
  <bookViews>
    <workbookView xWindow="28680" yWindow="-120" windowWidth="29040" windowHeight="15720" firstSheet="3" activeTab="4" xr2:uid="{47CD7EE5-109E-4B60-BBA1-994F74D83910}"/>
  </bookViews>
  <sheets>
    <sheet name="Windsor Inventory" sheetId="1" r:id="rId1"/>
    <sheet name="Healdsburg Inventory" sheetId="3" r:id="rId2"/>
    <sheet name="Cloverdale Inventory" sheetId="4" r:id="rId3"/>
    <sheet name="City of Petaluma" sheetId="5" r:id="rId4"/>
    <sheet name="Lytton Rancheria" sheetId="6" r:id="rId5"/>
    <sheet name="Sonoma - SVCSD " sheetId="7" r:id="rId6"/>
    <sheet name="Sonoma - RRCSD" sheetId="8" r:id="rId7"/>
    <sheet name="Sonoma - ALWSZ" sheetId="9" r:id="rId8"/>
    <sheet name="Annual and Cumulative GHGs" sheetId="2" r:id="rId9"/>
  </sheets>
  <externalReferences>
    <externalReference r:id="rId10"/>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2" l="1"/>
  <c r="B3" i="2"/>
  <c r="A59" i="4"/>
  <c r="F136" i="1"/>
  <c r="Y9" i="2" l="1"/>
  <c r="Y10" i="2"/>
  <c r="Y11" i="2"/>
  <c r="Y12" i="2"/>
  <c r="Y13" i="2"/>
  <c r="Y14" i="2"/>
  <c r="Y15" i="2"/>
  <c r="Y16" i="2"/>
  <c r="Y17" i="2"/>
  <c r="Y18" i="2"/>
  <c r="Y19" i="2"/>
  <c r="Y20" i="2"/>
  <c r="Y21" i="2"/>
  <c r="Y22" i="2"/>
  <c r="Y23" i="2"/>
  <c r="Y24" i="2"/>
  <c r="Y25" i="2"/>
  <c r="Y26" i="2"/>
  <c r="Y27" i="2"/>
  <c r="Y28" i="2"/>
  <c r="Y8" i="2"/>
  <c r="Q10" i="2"/>
  <c r="Q4" i="2"/>
  <c r="Q5" i="2"/>
  <c r="Q6" i="2"/>
  <c r="Q7" i="2"/>
  <c r="Y7" i="2" s="1"/>
  <c r="Q8" i="2"/>
  <c r="Q9" i="2"/>
  <c r="Q11" i="2"/>
  <c r="Q12" i="2"/>
  <c r="Q13" i="2"/>
  <c r="Q14" i="2"/>
  <c r="Q15" i="2"/>
  <c r="Q16" i="2"/>
  <c r="Q17" i="2"/>
  <c r="Q18" i="2"/>
  <c r="Q19" i="2"/>
  <c r="Q20" i="2"/>
  <c r="Q21" i="2"/>
  <c r="Q22" i="2"/>
  <c r="Q23" i="2"/>
  <c r="Q24" i="2"/>
  <c r="Q25" i="2"/>
  <c r="Q26" i="2"/>
  <c r="Q27" i="2"/>
  <c r="Q28" i="2"/>
  <c r="Q3" i="2"/>
  <c r="F107" i="9"/>
  <c r="F106" i="9"/>
  <c r="G105" i="9"/>
  <c r="G104" i="9"/>
  <c r="B104" i="9"/>
  <c r="A47" i="9"/>
  <c r="A58" i="9" s="1"/>
  <c r="A103" i="9" s="1"/>
  <c r="I3" i="2"/>
  <c r="I28" i="2"/>
  <c r="I23" i="2"/>
  <c r="I18" i="2"/>
  <c r="I13" i="2"/>
  <c r="I8" i="2"/>
  <c r="B103" i="9"/>
  <c r="F97" i="9"/>
  <c r="F105" i="9" s="1"/>
  <c r="F81" i="9"/>
  <c r="A80" i="9"/>
  <c r="F73" i="9"/>
  <c r="F77" i="9" s="1"/>
  <c r="A72" i="9"/>
  <c r="A76" i="9" s="1"/>
  <c r="G49" i="9"/>
  <c r="G103" i="9" s="1"/>
  <c r="X9" i="2"/>
  <c r="X10" i="2"/>
  <c r="X11" i="2"/>
  <c r="X12" i="2"/>
  <c r="X13" i="2"/>
  <c r="X14" i="2"/>
  <c r="X15" i="2"/>
  <c r="X16" i="2"/>
  <c r="X17" i="2"/>
  <c r="X18" i="2"/>
  <c r="X19" i="2"/>
  <c r="X20" i="2"/>
  <c r="X21" i="2"/>
  <c r="X22" i="2"/>
  <c r="X23" i="2"/>
  <c r="X24" i="2"/>
  <c r="X25" i="2"/>
  <c r="X26" i="2"/>
  <c r="X27" i="2"/>
  <c r="X28" i="2"/>
  <c r="X8" i="2"/>
  <c r="P4" i="2"/>
  <c r="P5" i="2"/>
  <c r="P6" i="2"/>
  <c r="P7" i="2"/>
  <c r="P8" i="2"/>
  <c r="P9" i="2"/>
  <c r="P10" i="2"/>
  <c r="P11" i="2"/>
  <c r="P12" i="2"/>
  <c r="P13" i="2"/>
  <c r="P14" i="2"/>
  <c r="P15" i="2"/>
  <c r="P16" i="2"/>
  <c r="P17" i="2"/>
  <c r="P18" i="2"/>
  <c r="P19" i="2"/>
  <c r="P20" i="2"/>
  <c r="P21" i="2"/>
  <c r="P22" i="2"/>
  <c r="P23" i="2"/>
  <c r="P24" i="2"/>
  <c r="P25" i="2"/>
  <c r="P26" i="2"/>
  <c r="P27" i="2"/>
  <c r="P28" i="2"/>
  <c r="P3" i="2"/>
  <c r="H10" i="2"/>
  <c r="H11" i="2"/>
  <c r="H12" i="2"/>
  <c r="H9" i="2"/>
  <c r="H5" i="2"/>
  <c r="H6" i="2"/>
  <c r="H7" i="2"/>
  <c r="H4" i="2"/>
  <c r="H15" i="2"/>
  <c r="H16" i="2"/>
  <c r="H17" i="2"/>
  <c r="H14" i="2"/>
  <c r="H20" i="2"/>
  <c r="H21" i="2"/>
  <c r="H22" i="2"/>
  <c r="H19" i="2"/>
  <c r="H25" i="2"/>
  <c r="H26" i="2"/>
  <c r="H27" i="2"/>
  <c r="H24" i="2"/>
  <c r="H28" i="2"/>
  <c r="H23" i="2"/>
  <c r="H18" i="2"/>
  <c r="H13" i="2"/>
  <c r="H8" i="2"/>
  <c r="H3" i="2"/>
  <c r="G147" i="8"/>
  <c r="G146" i="8"/>
  <c r="B146" i="8"/>
  <c r="B145" i="8"/>
  <c r="B144" i="8"/>
  <c r="F138" i="8"/>
  <c r="F147" i="8" s="1"/>
  <c r="F123" i="8"/>
  <c r="A121" i="8"/>
  <c r="F115" i="8"/>
  <c r="F119" i="8" s="1"/>
  <c r="A113" i="8"/>
  <c r="A117" i="8" s="1"/>
  <c r="A92" i="8"/>
  <c r="A82" i="8"/>
  <c r="A83" i="8" s="1"/>
  <c r="A88" i="8" s="1"/>
  <c r="A100" i="8" s="1"/>
  <c r="G77" i="8"/>
  <c r="G145" i="8" s="1"/>
  <c r="A53" i="8"/>
  <c r="A63" i="8" s="1"/>
  <c r="G49" i="8"/>
  <c r="G144" i="8" s="1"/>
  <c r="W9" i="2"/>
  <c r="W10" i="2"/>
  <c r="W11" i="2"/>
  <c r="W12" i="2"/>
  <c r="W13" i="2"/>
  <c r="W14" i="2"/>
  <c r="W15" i="2"/>
  <c r="W16" i="2"/>
  <c r="W17" i="2"/>
  <c r="W18" i="2"/>
  <c r="W19" i="2"/>
  <c r="W20" i="2"/>
  <c r="W21" i="2"/>
  <c r="W22" i="2"/>
  <c r="W23" i="2"/>
  <c r="W24" i="2"/>
  <c r="W25" i="2"/>
  <c r="W26" i="2"/>
  <c r="W27" i="2"/>
  <c r="W28" i="2"/>
  <c r="W8" i="2"/>
  <c r="O8" i="2"/>
  <c r="O9" i="2"/>
  <c r="O10" i="2"/>
  <c r="O11" i="2"/>
  <c r="O12" i="2"/>
  <c r="O13" i="2"/>
  <c r="O14" i="2"/>
  <c r="O15" i="2"/>
  <c r="O16" i="2"/>
  <c r="O17" i="2"/>
  <c r="O18" i="2"/>
  <c r="O19" i="2"/>
  <c r="O20" i="2"/>
  <c r="O21" i="2"/>
  <c r="O22" i="2"/>
  <c r="O23" i="2"/>
  <c r="O24" i="2"/>
  <c r="O25" i="2"/>
  <c r="O26" i="2"/>
  <c r="O27" i="2"/>
  <c r="O28" i="2"/>
  <c r="O4" i="2"/>
  <c r="W4" i="2" s="1"/>
  <c r="O5" i="2"/>
  <c r="O6" i="2"/>
  <c r="W6" i="2" s="1"/>
  <c r="O7" i="2"/>
  <c r="O3" i="2"/>
  <c r="W3" i="2" s="1"/>
  <c r="G5" i="2"/>
  <c r="G6" i="2"/>
  <c r="G7" i="2"/>
  <c r="G10" i="2"/>
  <c r="G11" i="2"/>
  <c r="G12" i="2"/>
  <c r="G15" i="2"/>
  <c r="G16" i="2"/>
  <c r="G17" i="2"/>
  <c r="G20" i="2"/>
  <c r="G21" i="2"/>
  <c r="G22" i="2"/>
  <c r="G25" i="2"/>
  <c r="G26" i="2"/>
  <c r="G27" i="2"/>
  <c r="G24" i="2"/>
  <c r="G19" i="2"/>
  <c r="G14" i="2"/>
  <c r="G9" i="2"/>
  <c r="G4" i="2"/>
  <c r="G13" i="2"/>
  <c r="G18" i="2"/>
  <c r="G23" i="2"/>
  <c r="G28" i="2"/>
  <c r="G8" i="2"/>
  <c r="G3" i="2"/>
  <c r="A150" i="7"/>
  <c r="A56" i="7"/>
  <c r="A66" i="7" s="1"/>
  <c r="G150" i="7"/>
  <c r="G149" i="7"/>
  <c r="B149" i="7"/>
  <c r="B148" i="7"/>
  <c r="B147" i="7"/>
  <c r="F141" i="7"/>
  <c r="F150" i="7" s="1"/>
  <c r="F126" i="7"/>
  <c r="A124" i="7"/>
  <c r="F118" i="7"/>
  <c r="F122" i="7" s="1"/>
  <c r="A116" i="7"/>
  <c r="A120" i="7" s="1"/>
  <c r="A132" i="7" s="1"/>
  <c r="A149" i="7" s="1"/>
  <c r="A95" i="7"/>
  <c r="A85" i="7"/>
  <c r="A86" i="7" s="1"/>
  <c r="A91" i="7" s="1"/>
  <c r="G80" i="7"/>
  <c r="G148" i="7" s="1"/>
  <c r="G52" i="7"/>
  <c r="G147" i="7" s="1"/>
  <c r="B141" i="6"/>
  <c r="B140" i="6"/>
  <c r="B139" i="6"/>
  <c r="G150" i="6"/>
  <c r="G149" i="6"/>
  <c r="F141" i="6"/>
  <c r="F150" i="6" s="1"/>
  <c r="F126" i="6"/>
  <c r="A116" i="6"/>
  <c r="F118" i="6"/>
  <c r="F122" i="6" s="1"/>
  <c r="A108" i="6"/>
  <c r="A112" i="6" s="1"/>
  <c r="A87" i="6"/>
  <c r="A77" i="6"/>
  <c r="A78" i="6" s="1"/>
  <c r="A83" i="6" s="1"/>
  <c r="G80" i="6"/>
  <c r="G148" i="6" s="1"/>
  <c r="G52" i="6"/>
  <c r="G147" i="6" s="1"/>
  <c r="B42" i="6"/>
  <c r="F28" i="2" s="1"/>
  <c r="B41" i="6"/>
  <c r="F23" i="2" s="1"/>
  <c r="B40" i="6"/>
  <c r="F18" i="2" s="1"/>
  <c r="B39" i="6"/>
  <c r="F13" i="2" s="1"/>
  <c r="B38" i="6"/>
  <c r="F8" i="2" s="1"/>
  <c r="B37" i="6"/>
  <c r="U9" i="2"/>
  <c r="U10" i="2"/>
  <c r="U11" i="2"/>
  <c r="U12" i="2"/>
  <c r="U13" i="2"/>
  <c r="U14" i="2"/>
  <c r="U15" i="2"/>
  <c r="U16" i="2"/>
  <c r="U17" i="2"/>
  <c r="U18" i="2"/>
  <c r="U19" i="2"/>
  <c r="U20" i="2"/>
  <c r="U21" i="2"/>
  <c r="U22" i="2"/>
  <c r="U23" i="2"/>
  <c r="U24" i="2"/>
  <c r="U25" i="2"/>
  <c r="U26" i="2"/>
  <c r="U27" i="2"/>
  <c r="U28" i="2"/>
  <c r="U8" i="2"/>
  <c r="M4" i="2"/>
  <c r="M5" i="2"/>
  <c r="M6" i="2"/>
  <c r="M7" i="2"/>
  <c r="M8" i="2"/>
  <c r="M9" i="2"/>
  <c r="M10" i="2"/>
  <c r="M11" i="2"/>
  <c r="M12" i="2"/>
  <c r="M13" i="2"/>
  <c r="M14" i="2"/>
  <c r="M15" i="2"/>
  <c r="M16" i="2"/>
  <c r="M17" i="2"/>
  <c r="M18" i="2"/>
  <c r="M19" i="2"/>
  <c r="M20" i="2"/>
  <c r="M21" i="2"/>
  <c r="M22" i="2"/>
  <c r="M23" i="2"/>
  <c r="M24" i="2"/>
  <c r="M25" i="2"/>
  <c r="M26" i="2"/>
  <c r="M27" i="2"/>
  <c r="M28" i="2"/>
  <c r="M3" i="2"/>
  <c r="U3" i="2" s="1"/>
  <c r="E25" i="2"/>
  <c r="E26" i="2"/>
  <c r="E27" i="2"/>
  <c r="E20" i="2"/>
  <c r="E21" i="2"/>
  <c r="E22" i="2"/>
  <c r="E24" i="2"/>
  <c r="E19" i="2"/>
  <c r="E15" i="2"/>
  <c r="E16" i="2"/>
  <c r="E17" i="2"/>
  <c r="E14" i="2"/>
  <c r="E10" i="2"/>
  <c r="E11" i="2"/>
  <c r="E12" i="2"/>
  <c r="E9" i="2"/>
  <c r="E5" i="2"/>
  <c r="E6" i="2"/>
  <c r="E7" i="2"/>
  <c r="E4" i="2"/>
  <c r="E28" i="2"/>
  <c r="E23" i="2"/>
  <c r="E18" i="2"/>
  <c r="E13" i="2"/>
  <c r="E8" i="2"/>
  <c r="E3" i="2"/>
  <c r="F175" i="5"/>
  <c r="A175" i="5"/>
  <c r="A174" i="5"/>
  <c r="G174" i="5"/>
  <c r="F174" i="5"/>
  <c r="G173" i="5"/>
  <c r="G170" i="5"/>
  <c r="F170" i="5"/>
  <c r="B173" i="5"/>
  <c r="B172" i="5"/>
  <c r="B171" i="5"/>
  <c r="B170" i="5"/>
  <c r="F164" i="5"/>
  <c r="F149" i="5"/>
  <c r="A149" i="5"/>
  <c r="F141" i="5"/>
  <c r="F145" i="5" s="1"/>
  <c r="A141" i="5"/>
  <c r="A145" i="5" s="1"/>
  <c r="G113" i="5"/>
  <c r="G172" i="5" s="1"/>
  <c r="A114" i="5"/>
  <c r="A123" i="5" s="1"/>
  <c r="A125" i="5" s="1"/>
  <c r="F113" i="5" s="1"/>
  <c r="F172" i="5" s="1"/>
  <c r="G78" i="5"/>
  <c r="G171" i="5" s="1"/>
  <c r="A88" i="5"/>
  <c r="A89" i="5" s="1"/>
  <c r="A83" i="5"/>
  <c r="A84" i="5" s="1"/>
  <c r="G50" i="5"/>
  <c r="A56" i="5"/>
  <c r="A57" i="5" s="1"/>
  <c r="A67" i="5" s="1"/>
  <c r="F50" i="5" s="1"/>
  <c r="A97" i="5"/>
  <c r="T8" i="2"/>
  <c r="T9" i="2"/>
  <c r="T10" i="2"/>
  <c r="T11" i="2"/>
  <c r="T12" i="2"/>
  <c r="T13" i="2"/>
  <c r="T14" i="2"/>
  <c r="T15" i="2"/>
  <c r="T16" i="2"/>
  <c r="T17" i="2"/>
  <c r="T18" i="2"/>
  <c r="T19" i="2"/>
  <c r="T20" i="2"/>
  <c r="T21" i="2"/>
  <c r="T22" i="2"/>
  <c r="T23" i="2"/>
  <c r="T24" i="2"/>
  <c r="T25" i="2"/>
  <c r="T26" i="2"/>
  <c r="T27" i="2"/>
  <c r="T28" i="2"/>
  <c r="L9" i="2"/>
  <c r="L10" i="2"/>
  <c r="L11" i="2"/>
  <c r="L12" i="2"/>
  <c r="L13" i="2"/>
  <c r="L14" i="2"/>
  <c r="L15" i="2"/>
  <c r="L16" i="2"/>
  <c r="L17" i="2"/>
  <c r="L18" i="2"/>
  <c r="L19" i="2"/>
  <c r="L20" i="2"/>
  <c r="L21" i="2"/>
  <c r="L22" i="2"/>
  <c r="L23" i="2"/>
  <c r="L24" i="2"/>
  <c r="L25" i="2"/>
  <c r="L26" i="2"/>
  <c r="L27" i="2"/>
  <c r="L28" i="2"/>
  <c r="L8" i="2"/>
  <c r="L7" i="2"/>
  <c r="T7" i="2" s="1"/>
  <c r="L4" i="2"/>
  <c r="L5" i="2"/>
  <c r="L6" i="2"/>
  <c r="D13" i="2"/>
  <c r="D12" i="2" s="1"/>
  <c r="D18" i="2"/>
  <c r="D23" i="2"/>
  <c r="D28" i="2"/>
  <c r="D8" i="2"/>
  <c r="D3" i="2"/>
  <c r="L3" i="2" s="1"/>
  <c r="T3" i="2" s="1"/>
  <c r="C24" i="2"/>
  <c r="C20" i="2"/>
  <c r="C21" i="2"/>
  <c r="B9" i="2"/>
  <c r="D7" i="2"/>
  <c r="B5" i="2"/>
  <c r="B6" i="2"/>
  <c r="B7" i="2"/>
  <c r="B4" i="2"/>
  <c r="F138" i="4"/>
  <c r="G135" i="4"/>
  <c r="G134" i="4"/>
  <c r="F137" i="4"/>
  <c r="F136" i="4"/>
  <c r="F135" i="4"/>
  <c r="F139" i="4" s="1"/>
  <c r="F134" i="4"/>
  <c r="B136" i="4"/>
  <c r="A136" i="4"/>
  <c r="A137" i="4" s="1"/>
  <c r="A138" i="4" s="1"/>
  <c r="B135" i="4"/>
  <c r="A135" i="4"/>
  <c r="B134" i="4"/>
  <c r="A134" i="4"/>
  <c r="F81" i="4"/>
  <c r="G137" i="4"/>
  <c r="G136" i="4"/>
  <c r="F128" i="4"/>
  <c r="F114" i="4"/>
  <c r="A113" i="4"/>
  <c r="F106" i="4"/>
  <c r="F110" i="4" s="1"/>
  <c r="A105" i="4"/>
  <c r="A109" i="4" s="1"/>
  <c r="A80" i="4"/>
  <c r="A92" i="4" s="1"/>
  <c r="A58" i="4"/>
  <c r="A69" i="4" s="1"/>
  <c r="A70" i="4" s="1"/>
  <c r="F50" i="4" s="1"/>
  <c r="X3" i="2"/>
  <c r="Y3" i="2"/>
  <c r="T4" i="2"/>
  <c r="U4" i="2"/>
  <c r="X4" i="2"/>
  <c r="Y4" i="2"/>
  <c r="T5" i="2"/>
  <c r="U5" i="2"/>
  <c r="W5" i="2"/>
  <c r="X5" i="2"/>
  <c r="Y5" i="2"/>
  <c r="T6" i="2"/>
  <c r="U6" i="2"/>
  <c r="X6" i="2"/>
  <c r="Y6" i="2"/>
  <c r="U7" i="2"/>
  <c r="W7" i="2"/>
  <c r="X7" i="2"/>
  <c r="R8" i="2"/>
  <c r="C28" i="2"/>
  <c r="C23" i="2"/>
  <c r="C18" i="2"/>
  <c r="C13" i="2"/>
  <c r="C9" i="2" s="1"/>
  <c r="C8" i="2"/>
  <c r="C4" i="2" s="1"/>
  <c r="C3" i="2"/>
  <c r="G139" i="3"/>
  <c r="G138" i="3"/>
  <c r="B137" i="3"/>
  <c r="G136" i="3" s="1"/>
  <c r="B138" i="3"/>
  <c r="G137" i="3" s="1"/>
  <c r="B139" i="3"/>
  <c r="F130" i="3"/>
  <c r="F139" i="3" s="1"/>
  <c r="F116" i="3"/>
  <c r="F108" i="3"/>
  <c r="F112" i="3" s="1"/>
  <c r="A117" i="3"/>
  <c r="A109" i="3"/>
  <c r="A113" i="3" s="1"/>
  <c r="A78" i="3"/>
  <c r="A79" i="3" s="1"/>
  <c r="A83" i="3" s="1"/>
  <c r="A87" i="3"/>
  <c r="A52" i="3"/>
  <c r="A53" i="3" s="1"/>
  <c r="A61" i="3" s="1"/>
  <c r="F50" i="3" s="1"/>
  <c r="F136" i="3" s="1"/>
  <c r="B28" i="2"/>
  <c r="R28" i="2" s="1"/>
  <c r="B23" i="2"/>
  <c r="B18" i="2"/>
  <c r="J18" i="2" s="1"/>
  <c r="B13" i="2"/>
  <c r="B8" i="2"/>
  <c r="J8" i="2" s="1"/>
  <c r="J3" i="2"/>
  <c r="F272" i="1"/>
  <c r="F271" i="1"/>
  <c r="G266" i="1"/>
  <c r="G267" i="1"/>
  <c r="G268" i="1"/>
  <c r="G269" i="1"/>
  <c r="G270" i="1"/>
  <c r="F270" i="1"/>
  <c r="F269" i="1"/>
  <c r="F268" i="1"/>
  <c r="F267" i="1"/>
  <c r="F266" i="1"/>
  <c r="A270" i="1"/>
  <c r="A269" i="1"/>
  <c r="B266" i="1"/>
  <c r="B267" i="1"/>
  <c r="B268" i="1"/>
  <c r="A268" i="1"/>
  <c r="A267" i="1"/>
  <c r="A266" i="1"/>
  <c r="A262" i="1"/>
  <c r="A251" i="1"/>
  <c r="A254" i="1"/>
  <c r="A247" i="1"/>
  <c r="F226" i="1"/>
  <c r="F217" i="1"/>
  <c r="F218" i="1" s="1"/>
  <c r="F223" i="1" s="1"/>
  <c r="F212" i="1"/>
  <c r="F213" i="1" s="1"/>
  <c r="F222" i="1" s="1"/>
  <c r="F234" i="1" s="1"/>
  <c r="F177" i="1"/>
  <c r="F194" i="1" s="1"/>
  <c r="F150" i="1"/>
  <c r="F143" i="1"/>
  <c r="F119" i="1"/>
  <c r="F90" i="1"/>
  <c r="F91" i="1"/>
  <c r="F92" i="1"/>
  <c r="F89" i="1"/>
  <c r="A102" i="1"/>
  <c r="A64" i="1"/>
  <c r="A62" i="1"/>
  <c r="C19" i="2" l="1"/>
  <c r="C7" i="2"/>
  <c r="C6" i="2"/>
  <c r="C5" i="2"/>
  <c r="C22" i="2"/>
  <c r="A137" i="3"/>
  <c r="F5" i="2"/>
  <c r="F4" i="2"/>
  <c r="F7" i="2"/>
  <c r="F6" i="2"/>
  <c r="F134" i="6"/>
  <c r="F149" i="6" s="1"/>
  <c r="F19" i="2"/>
  <c r="F20" i="2"/>
  <c r="F21" i="2"/>
  <c r="F22" i="2"/>
  <c r="F9" i="2"/>
  <c r="F12" i="2"/>
  <c r="F10" i="2"/>
  <c r="F11" i="2"/>
  <c r="F14" i="2"/>
  <c r="F15" i="2"/>
  <c r="F16" i="2"/>
  <c r="F17" i="2"/>
  <c r="F27" i="2"/>
  <c r="F25" i="2"/>
  <c r="F26" i="2"/>
  <c r="F24" i="2"/>
  <c r="F89" i="9"/>
  <c r="F104" i="9" s="1"/>
  <c r="I20" i="2"/>
  <c r="I12" i="2"/>
  <c r="I17" i="2"/>
  <c r="I27" i="2"/>
  <c r="A88" i="9"/>
  <c r="A104" i="9" s="1"/>
  <c r="A105" i="9" s="1"/>
  <c r="I5" i="2"/>
  <c r="I4" i="2"/>
  <c r="I7" i="2"/>
  <c r="I6" i="2"/>
  <c r="I21" i="2"/>
  <c r="I14" i="2"/>
  <c r="I22" i="2"/>
  <c r="I16" i="2"/>
  <c r="I24" i="2"/>
  <c r="I15" i="2"/>
  <c r="I9" i="2"/>
  <c r="I25" i="2"/>
  <c r="I10" i="2"/>
  <c r="I26" i="2"/>
  <c r="I11" i="2"/>
  <c r="I19" i="2"/>
  <c r="F49" i="9"/>
  <c r="F103" i="9" s="1"/>
  <c r="A129" i="8"/>
  <c r="A146" i="8" s="1"/>
  <c r="F131" i="8"/>
  <c r="F146" i="8" s="1"/>
  <c r="F49" i="8"/>
  <c r="F144" i="8" s="1"/>
  <c r="A144" i="8"/>
  <c r="F77" i="8"/>
  <c r="F145" i="8" s="1"/>
  <c r="A145" i="8"/>
  <c r="F134" i="7"/>
  <c r="F149" i="7" s="1"/>
  <c r="A147" i="7"/>
  <c r="F52" i="7"/>
  <c r="F147" i="7" s="1"/>
  <c r="A103" i="7"/>
  <c r="A61" i="6"/>
  <c r="A124" i="6"/>
  <c r="A95" i="6"/>
  <c r="A170" i="5"/>
  <c r="A172" i="5"/>
  <c r="A93" i="5"/>
  <c r="F157" i="5"/>
  <c r="A157" i="5"/>
  <c r="A173" i="5" s="1"/>
  <c r="A105" i="5"/>
  <c r="D10" i="2"/>
  <c r="D9" i="2"/>
  <c r="D15" i="2"/>
  <c r="D17" i="2"/>
  <c r="D14" i="2"/>
  <c r="D16" i="2"/>
  <c r="D22" i="2"/>
  <c r="D21" i="2"/>
  <c r="D20" i="2"/>
  <c r="D19" i="2"/>
  <c r="D25" i="2"/>
  <c r="D24" i="2"/>
  <c r="D27" i="2"/>
  <c r="D26" i="2"/>
  <c r="D6" i="2"/>
  <c r="D11" i="2"/>
  <c r="D5" i="2"/>
  <c r="D4" i="2"/>
  <c r="F122" i="4"/>
  <c r="A121" i="4"/>
  <c r="C10" i="2"/>
  <c r="A125" i="3"/>
  <c r="A139" i="3" s="1"/>
  <c r="B19" i="2"/>
  <c r="C14" i="2"/>
  <c r="C27" i="2"/>
  <c r="C17" i="2"/>
  <c r="B17" i="2"/>
  <c r="C12" i="2"/>
  <c r="B16" i="2"/>
  <c r="R16" i="2" s="1"/>
  <c r="B24" i="2"/>
  <c r="R24" i="2" s="1"/>
  <c r="C11" i="2"/>
  <c r="C15" i="2"/>
  <c r="C16" i="2"/>
  <c r="B15" i="2"/>
  <c r="C26" i="2"/>
  <c r="B14" i="2"/>
  <c r="J14" i="2" s="1"/>
  <c r="C25" i="2"/>
  <c r="J4" i="2"/>
  <c r="R4" i="2" s="1"/>
  <c r="B20" i="2"/>
  <c r="J20" i="2" s="1"/>
  <c r="B10" i="2"/>
  <c r="R10" i="2" s="1"/>
  <c r="B25" i="2"/>
  <c r="J25" i="2" s="1"/>
  <c r="R18" i="2"/>
  <c r="J5" i="2"/>
  <c r="R5" i="2" s="1"/>
  <c r="R3" i="2"/>
  <c r="J7" i="2"/>
  <c r="B26" i="2"/>
  <c r="J23" i="2"/>
  <c r="B27" i="2"/>
  <c r="J13" i="2"/>
  <c r="R23" i="2"/>
  <c r="J6" i="2"/>
  <c r="B12" i="2"/>
  <c r="B22" i="2"/>
  <c r="J28" i="2"/>
  <c r="R13" i="2"/>
  <c r="B11" i="2"/>
  <c r="B21" i="2"/>
  <c r="F124" i="3"/>
  <c r="F138" i="3" s="1"/>
  <c r="A95" i="3"/>
  <c r="F109" i="1"/>
  <c r="F154" i="1"/>
  <c r="F167" i="1" s="1"/>
  <c r="A65" i="1"/>
  <c r="A75" i="1"/>
  <c r="A76" i="1" s="1"/>
  <c r="A106" i="9" l="1"/>
  <c r="A147" i="8"/>
  <c r="A148" i="8" s="1"/>
  <c r="F148" i="8"/>
  <c r="F149" i="8" s="1"/>
  <c r="F80" i="7"/>
  <c r="F148" i="7" s="1"/>
  <c r="F151" i="7" s="1"/>
  <c r="F152" i="7" s="1"/>
  <c r="A148" i="7"/>
  <c r="A151" i="7"/>
  <c r="F80" i="6"/>
  <c r="F148" i="6" s="1"/>
  <c r="A140" i="6"/>
  <c r="A141" i="6"/>
  <c r="F52" i="6"/>
  <c r="F147" i="6" s="1"/>
  <c r="F151" i="6" s="1"/>
  <c r="A139" i="6"/>
  <c r="A142" i="6" s="1"/>
  <c r="A143" i="6" s="1"/>
  <c r="F173" i="5"/>
  <c r="F78" i="5"/>
  <c r="F171" i="5" s="1"/>
  <c r="F176" i="5" s="1"/>
  <c r="A171" i="5"/>
  <c r="A138" i="3"/>
  <c r="A140" i="3" s="1"/>
  <c r="A141" i="3" s="1"/>
  <c r="K5" i="2" s="1"/>
  <c r="F72" i="3"/>
  <c r="F137" i="3" s="1"/>
  <c r="F140" i="3" s="1"/>
  <c r="F141" i="3" s="1"/>
  <c r="S9" i="2" s="1"/>
  <c r="K7" i="2"/>
  <c r="S17" i="2"/>
  <c r="K17" i="2"/>
  <c r="K26" i="2"/>
  <c r="R20" i="2"/>
  <c r="J16" i="2"/>
  <c r="R25" i="2"/>
  <c r="J10" i="2"/>
  <c r="J24" i="2"/>
  <c r="R14" i="2"/>
  <c r="R7" i="2"/>
  <c r="J17" i="2"/>
  <c r="R17" i="2"/>
  <c r="R27" i="2"/>
  <c r="J27" i="2"/>
  <c r="R12" i="2"/>
  <c r="J12" i="2"/>
  <c r="R15" i="2"/>
  <c r="J15" i="2"/>
  <c r="J26" i="2"/>
  <c r="R26" i="2"/>
  <c r="R21" i="2"/>
  <c r="J21" i="2"/>
  <c r="R19" i="2"/>
  <c r="J19" i="2"/>
  <c r="R6" i="2"/>
  <c r="J22" i="2"/>
  <c r="R22" i="2"/>
  <c r="R11" i="2"/>
  <c r="J11" i="2"/>
  <c r="J9" i="2"/>
  <c r="R9" i="2"/>
  <c r="N5" i="2" l="1"/>
  <c r="V5" i="2" s="1"/>
  <c r="N3" i="2"/>
  <c r="V3" i="2" s="1"/>
  <c r="K22" i="2"/>
  <c r="S22" i="2"/>
  <c r="K11" i="2"/>
  <c r="S11" i="2"/>
  <c r="K25" i="2"/>
  <c r="S25" i="2"/>
  <c r="K24" i="2"/>
  <c r="S24" i="2"/>
  <c r="K6" i="2"/>
  <c r="S6" i="2" s="1"/>
  <c r="S15" i="2"/>
  <c r="K15" i="2"/>
  <c r="K20" i="2"/>
  <c r="S20" i="2"/>
  <c r="K4" i="2"/>
  <c r="K14" i="2"/>
  <c r="K16" i="2"/>
  <c r="K27" i="2"/>
  <c r="S27" i="2"/>
  <c r="K21" i="2"/>
  <c r="S21" i="2"/>
  <c r="K9" i="2"/>
  <c r="K12" i="2"/>
  <c r="N4" i="2"/>
  <c r="V4" i="2" s="1"/>
  <c r="N6" i="2"/>
  <c r="V6" i="2" s="1"/>
  <c r="N7" i="2"/>
  <c r="V7" i="2" s="1"/>
  <c r="N8" i="2"/>
  <c r="N9" i="2"/>
  <c r="N10" i="2"/>
  <c r="N11" i="2"/>
  <c r="N12" i="2"/>
  <c r="N13" i="2"/>
  <c r="N14" i="2"/>
  <c r="N15" i="2"/>
  <c r="N16" i="2"/>
  <c r="N17" i="2"/>
  <c r="N18" i="2"/>
  <c r="N19" i="2"/>
  <c r="N20" i="2"/>
  <c r="N21" i="2"/>
  <c r="N22" i="2"/>
  <c r="N23" i="2"/>
  <c r="N24" i="2"/>
  <c r="N25" i="2"/>
  <c r="N26" i="2"/>
  <c r="N27" i="2"/>
  <c r="N28" i="2"/>
  <c r="F152" i="6"/>
  <c r="S5" i="2"/>
  <c r="S4" i="2"/>
  <c r="S7" i="2"/>
  <c r="S14" i="2"/>
  <c r="S28" i="2"/>
  <c r="S8" i="2"/>
  <c r="S13" i="2"/>
  <c r="S10" i="2"/>
  <c r="S18" i="2"/>
  <c r="S23" i="2"/>
  <c r="S19" i="2"/>
  <c r="S16" i="2"/>
  <c r="S12" i="2"/>
  <c r="K13" i="2"/>
  <c r="K8" i="2"/>
  <c r="K28" i="2"/>
  <c r="K18" i="2"/>
  <c r="K23" i="2"/>
  <c r="K19" i="2"/>
  <c r="K3" i="2"/>
  <c r="S26" i="2"/>
  <c r="K10" i="2"/>
  <c r="Z7" i="2" l="1"/>
  <c r="Z4" i="2"/>
  <c r="Z5" i="2"/>
  <c r="Z6" i="2"/>
  <c r="V9" i="2"/>
  <c r="Z9" i="2" s="1"/>
  <c r="V25" i="2"/>
  <c r="Z25" i="2" s="1"/>
  <c r="V26" i="2"/>
  <c r="Z26" i="2" s="1"/>
  <c r="V27" i="2"/>
  <c r="Z27" i="2" s="1"/>
  <c r="V28" i="2"/>
  <c r="Z28" i="2" s="1"/>
  <c r="V10" i="2"/>
  <c r="Z10" i="2" s="1"/>
  <c r="V11" i="2"/>
  <c r="Z11" i="2" s="1"/>
  <c r="V12" i="2"/>
  <c r="Z12" i="2" s="1"/>
  <c r="V13" i="2"/>
  <c r="Z13" i="2" s="1"/>
  <c r="V14" i="2"/>
  <c r="Z14" i="2" s="1"/>
  <c r="V15" i="2"/>
  <c r="Z15" i="2" s="1"/>
  <c r="V16" i="2"/>
  <c r="Z16" i="2" s="1"/>
  <c r="V17" i="2"/>
  <c r="Z17" i="2" s="1"/>
  <c r="V18" i="2"/>
  <c r="Z18" i="2" s="1"/>
  <c r="V19" i="2"/>
  <c r="Z19" i="2" s="1"/>
  <c r="V20" i="2"/>
  <c r="Z20" i="2" s="1"/>
  <c r="V21" i="2"/>
  <c r="Z21" i="2" s="1"/>
  <c r="V22" i="2"/>
  <c r="Z22" i="2" s="1"/>
  <c r="V23" i="2"/>
  <c r="Z23" i="2" s="1"/>
  <c r="V24" i="2"/>
  <c r="Z24" i="2" s="1"/>
  <c r="V8" i="2"/>
  <c r="Z8" i="2" s="1"/>
  <c r="S3" i="2"/>
  <c r="Z3" i="2"/>
  <c r="AA3" i="2" s="1"/>
  <c r="AA4" i="2" l="1"/>
  <c r="AA5" i="2" s="1"/>
  <c r="AA6" i="2" s="1"/>
  <c r="AA7" i="2" s="1"/>
  <c r="AA8" i="2" s="1"/>
  <c r="AA9" i="2" s="1"/>
  <c r="AA10" i="2" s="1"/>
  <c r="AA11" i="2" s="1"/>
  <c r="AA12" i="2" s="1"/>
  <c r="AA13" i="2" s="1"/>
  <c r="AA14" i="2" s="1"/>
  <c r="AA15" i="2" s="1"/>
  <c r="AA16" i="2" s="1"/>
  <c r="AA17" i="2" s="1"/>
  <c r="AA18" i="2" s="1"/>
  <c r="AA19" i="2" s="1"/>
  <c r="AA20" i="2" s="1"/>
  <c r="AA21" i="2" s="1"/>
  <c r="AA22" i="2" s="1"/>
  <c r="AA23" i="2" s="1"/>
  <c r="AA24" i="2" s="1"/>
  <c r="AA25" i="2" s="1"/>
  <c r="AA26" i="2" s="1"/>
  <c r="AA27" i="2" s="1"/>
  <c r="AA28" i="2" s="1"/>
</calcChain>
</file>

<file path=xl/sharedStrings.xml><?xml version="1.0" encoding="utf-8"?>
<sst xmlns="http://schemas.openxmlformats.org/spreadsheetml/2006/main" count="963" uniqueCount="225">
  <si>
    <t>Appendix A: GHG Emission Reduction Calculations</t>
  </si>
  <si>
    <t xml:space="preserve">Town of Windsor </t>
  </si>
  <si>
    <t>Color coding:</t>
  </si>
  <si>
    <t>User input</t>
  </si>
  <si>
    <t>Reference value</t>
  </si>
  <si>
    <t>Calculated value</t>
  </si>
  <si>
    <t>Greenhouse gas output</t>
  </si>
  <si>
    <t xml:space="preserve">Description: </t>
  </si>
  <si>
    <t xml:space="preserve">The calculations below compare the operational inputs and outputs required for the reference scenario on the left and the proposed alternative scenario on the right. </t>
  </si>
  <si>
    <t xml:space="preserve">The reference scenario includes onsite sludge storage ponds for stabilization of the waste activated sludge and sludge generated by the clarifiers. Sludge settles and organic matter is partially digested in ponds. Sludge solids are removed from the bottom of the ponds once a year using a dredge. Dredged solids are pumped into storage and decant tanks for storage and equalization prior to dewatering. Third party contractor performs this biosolids dredging, mobile dewatering, and land application/disposal. </t>
  </si>
  <si>
    <t xml:space="preserve">The alternative scenario eliminates the use of onsite storage ponds and third party biosolids management. Instead, waste activated sludge and sludge generated by the clarifiers is subject to newly implemented dewatering, thickening, biodrying, and pyrolysis. These new onsite treatment processes require additional operational intensity in terms of energy and chemical inputs, but they also enable reduced offsite biosolids hauling, contaminant destruction, and a beneficial product (biochar) to be used locally. </t>
  </si>
  <si>
    <t>Biosolids production location:</t>
  </si>
  <si>
    <t>Reference scenario:</t>
  </si>
  <si>
    <t>Alternative scenario:</t>
  </si>
  <si>
    <t>8400 Windsor Rd Bldg 100, Windsor, CA 95492</t>
  </si>
  <si>
    <t>No change</t>
  </si>
  <si>
    <t>Biosolids production rate:</t>
  </si>
  <si>
    <t>dry tons/day</t>
  </si>
  <si>
    <t>Onsite storage ponds:</t>
  </si>
  <si>
    <t>BEAM*2022 model used to estimate methane from sludge storage ponds</t>
  </si>
  <si>
    <t>Onsite storage ponds are entirely eliminated in the alternative scenario, therefore eliminating the associated contribution to greenhouse gas emissions.</t>
  </si>
  <si>
    <t>BEAM*2022 requires the following inputs:</t>
  </si>
  <si>
    <t>-Mass of BOD5 to storage</t>
  </si>
  <si>
    <t>-If the storage lagoon is aerated</t>
  </si>
  <si>
    <t>-If the depth of the lagoon is &lt; 2 meters</t>
  </si>
  <si>
    <t>Current biosolids production rate:</t>
  </si>
  <si>
    <t>dry tons/day of biosolids produced</t>
  </si>
  <si>
    <t>kg BOD5 to storage lagoons</t>
  </si>
  <si>
    <t>* Assumes all influent BOD5 is accumulated in biosolids</t>
  </si>
  <si>
    <t>BOD5 content of biosolids:</t>
  </si>
  <si>
    <t>kg BOD5/dry ton</t>
  </si>
  <si>
    <t>dry tons/day of biosolids in 2050 AA</t>
  </si>
  <si>
    <t>kg BOD5/day to storage in 2050 AA</t>
  </si>
  <si>
    <t>* This value was inputted into BEAM*2022</t>
  </si>
  <si>
    <t>Aerated lagoons?</t>
  </si>
  <si>
    <t>No</t>
  </si>
  <si>
    <t>Depth &lt; 2 meters?</t>
  </si>
  <si>
    <t>BEAM*2022 Outputs:</t>
  </si>
  <si>
    <t>Mg CO2e/day</t>
  </si>
  <si>
    <t>Mg CO2e/dry ton</t>
  </si>
  <si>
    <t>lbs CO2e/dry ton for onsite storage</t>
  </si>
  <si>
    <t>Thickening and Dewatering:</t>
  </si>
  <si>
    <t>Current third party dewatering electricity:</t>
  </si>
  <si>
    <t>2050 AA electricity demand:</t>
  </si>
  <si>
    <t>kWh/dry ton</t>
  </si>
  <si>
    <t>kWh/year for thickening</t>
  </si>
  <si>
    <t>* Estimated based on third party dewatering equipment and annual run times</t>
  </si>
  <si>
    <t>kWh/year for sludge storage tank system</t>
  </si>
  <si>
    <t>kWh/year for dewatering</t>
  </si>
  <si>
    <t>kWh/year for odor control</t>
  </si>
  <si>
    <t>Electricity demand met with onsite solar power:</t>
  </si>
  <si>
    <t>Electricity demand per dry ton:</t>
  </si>
  <si>
    <t>* The current assumption is that all electricity demand is met with purchased electricity, but the District may expand their onsite solar arrays in the future</t>
  </si>
  <si>
    <t>kWh/dry ton for thickening</t>
  </si>
  <si>
    <t>kWh/dry ton for sludge storage tank system</t>
  </si>
  <si>
    <t>kWh/dry ton for dewatering</t>
  </si>
  <si>
    <t>kWh/dry ton for odor control</t>
  </si>
  <si>
    <t>Electricity provider:</t>
  </si>
  <si>
    <t>Sonoma Clean Power - EverGreen</t>
  </si>
  <si>
    <t>Electricity emissions factor:</t>
  </si>
  <si>
    <t>lbs CO2e/MWh</t>
  </si>
  <si>
    <t>* Reference: Power Sources | Sonoma Clean Power</t>
  </si>
  <si>
    <t>GHG input from electricity:</t>
  </si>
  <si>
    <t>lbs CO2e/dry ton for dewatering electricity</t>
  </si>
  <si>
    <t>lbs CO2e/dry ton for dewatering/thickening electricity</t>
  </si>
  <si>
    <t>Biodrying:</t>
  </si>
  <si>
    <t>Not applicable</t>
  </si>
  <si>
    <t>2050 AA electricity demand for biodrying equipment and odor control:</t>
  </si>
  <si>
    <t>kWh/year for biodrying and odor control</t>
  </si>
  <si>
    <t>kWh/dry ton for biodrying &amp; odor control</t>
  </si>
  <si>
    <t>lbs CO2e/dry ton for biodrying equipment and odor control</t>
  </si>
  <si>
    <t>2050 AA thermal energy demand for biodrying temperature increase:</t>
  </si>
  <si>
    <t>MMBTU/week</t>
  </si>
  <si>
    <t>Thermal energy demand per dry ton:</t>
  </si>
  <si>
    <t>MMBTU/dry ton for temperature increase</t>
  </si>
  <si>
    <t>Thermal energy demand met with recovered thermal energy from pyrolysis:</t>
  </si>
  <si>
    <t>Thermal energy recovered per dry ton:</t>
  </si>
  <si>
    <t>Remaining thermal energy demand to be purchased with purchased power:</t>
  </si>
  <si>
    <t>Source of purchased thermal energy:</t>
  </si>
  <si>
    <t>MMBTU content of electricity:</t>
  </si>
  <si>
    <t>kWh/MMBTU</t>
  </si>
  <si>
    <t>GHG input from purchased thermal energy:</t>
  </si>
  <si>
    <t>lbs CO2e/dry ton for biodrying thermal energy</t>
  </si>
  <si>
    <t>Pyrolysis:</t>
  </si>
  <si>
    <t>2050 AA electricity demand for pyrolysis:</t>
  </si>
  <si>
    <t>lbs CO2e/dry ton for pyrolysis electricity</t>
  </si>
  <si>
    <t>Chemical hauling:</t>
  </si>
  <si>
    <t>Not applicable because the polymer used for thickening/dewatering is the same in the reference and alternative scenarios</t>
  </si>
  <si>
    <t>Sodium hydroxide (50% NaOH) used in pyrolysis</t>
  </si>
  <si>
    <t>Sulfuric acid used in wet chemical scrubber for biodryer odor control</t>
  </si>
  <si>
    <t>Delivery distance:</t>
  </si>
  <si>
    <t>miles for sodium hydroxide</t>
  </si>
  <si>
    <t>miles for sulfuric acid</t>
  </si>
  <si>
    <t>Chemical usage:</t>
  </si>
  <si>
    <t>gal 50% NaOH/year in 2050 AA</t>
  </si>
  <si>
    <t>lbs 50% NaOH/gal</t>
  </si>
  <si>
    <t>lbs 50% NaOH/year in 2050 AA</t>
  </si>
  <si>
    <t>tons 50% NaOH/dry ton biosolids</t>
  </si>
  <si>
    <t>gal sulfuric acid/year in 2050 AA</t>
  </si>
  <si>
    <t>lbs sulfuric acid/gal</t>
  </si>
  <si>
    <t>ton-miles/dry ton for NaOH</t>
  </si>
  <si>
    <t>ton-miles/dry ton for sulfuric acid</t>
  </si>
  <si>
    <t>g CO2e/ton-mile</t>
  </si>
  <si>
    <t>lbs CO2e/ton-mile</t>
  </si>
  <si>
    <t>* Reference: Average freight truck in the US - https://business.edf.org/insights/green-freight-math-how-to-calculate-emissions-for-a-truck-move/#:~:text=Step%201%3A%20Determine%20the%20total,of%20CO2%20per%20ton%2Dmile.</t>
  </si>
  <si>
    <t>GHG input from chemical deliveries:</t>
  </si>
  <si>
    <t>lbs CO2e/dry ton for chemical delivery</t>
  </si>
  <si>
    <t>Offsite biosolids hauling:</t>
  </si>
  <si>
    <t>One way hauling distance</t>
  </si>
  <si>
    <t>Not applicable because resultant biochar will be used onsite and/or picked up for use by local residents</t>
  </si>
  <si>
    <t>miles</t>
  </si>
  <si>
    <t>Solids content</t>
  </si>
  <si>
    <t>Weight of hauled biosolids</t>
  </si>
  <si>
    <t>tons/dry ton</t>
  </si>
  <si>
    <t>ton-miles/dry ton</t>
  </si>
  <si>
    <t>GHG input from offsite biosolids hauling:</t>
  </si>
  <si>
    <t>lbs CO2e/dry ton for offsite biosolids hauling</t>
  </si>
  <si>
    <t>Totals:</t>
  </si>
  <si>
    <t>lbs CO2e/dry ton for reference scenario</t>
  </si>
  <si>
    <t>mtCO2e/dry ton for reference scenario</t>
  </si>
  <si>
    <t>City of Healdsburg</t>
  </si>
  <si>
    <t>The reference scenario includes onsite dewatering of waste activated sludge with cationic polymer and Flottweg decanter centrifuge. Class B biosolids are placed into contracted sludge hauling trailors for immediate delivery to designated processing facility and/or land application sies. Biosolids are produced in batches. Typically, two trailor loads from the facility per week.</t>
  </si>
  <si>
    <t xml:space="preserve">The alternative scenario assumes that onsite dewatering is continued. Dewatered solids are hauled to the Town of Windsor WRF for biodrying and pyrolysis. These additional offsite processes require additional operational intensity in terms of energy and chemical inputs, but they also enable reduced offsite biosolids hauling, contaminant destruction, and a beneficial product (biochar) to be used locally. </t>
  </si>
  <si>
    <t>340 Foreman Lane, Healdsburg, CA</t>
  </si>
  <si>
    <t>Dewatering:</t>
  </si>
  <si>
    <t>kW dewatering equipment</t>
  </si>
  <si>
    <t>hrs/day of dewatering run time currently</t>
  </si>
  <si>
    <t>* Provided by City</t>
  </si>
  <si>
    <t>kWh/day of dewatering electricity</t>
  </si>
  <si>
    <t>kWh/dry ton for dewatering electricity</t>
  </si>
  <si>
    <t>Power Content Label and Energy Mix | Healdsburg, CA - Official Website (smartlivinghealdsburg.org)</t>
  </si>
  <si>
    <t>Chemical delivery:</t>
  </si>
  <si>
    <t>Chemicals required for biodrying and pyrolysis are included in the biodrying and pyrolysis section below</t>
  </si>
  <si>
    <t>Cationic polymer used for dewatering</t>
  </si>
  <si>
    <t>miles from Healdsburg to LA, CA</t>
  </si>
  <si>
    <t>Cationic polymer still required for dewatering</t>
  </si>
  <si>
    <t>miles from Healdsburg to Riceboro, GA</t>
  </si>
  <si>
    <t>* Distribution locations provided by City</t>
  </si>
  <si>
    <t>gal polymer/dry ton</t>
  </si>
  <si>
    <t>specific gravity of polymer</t>
  </si>
  <si>
    <t>lbs/gal polymer</t>
  </si>
  <si>
    <t>lbs polymer/dry ton</t>
  </si>
  <si>
    <t>ton-miles/dry ton for cationic polymer</t>
  </si>
  <si>
    <t>* Assumes average of chemical delivery distances</t>
  </si>
  <si>
    <t>* from Healdsburg facility to Windsor WRF</t>
  </si>
  <si>
    <t>* Assumes average of hauling distances</t>
  </si>
  <si>
    <t>Biodrying and Pyrolysis:</t>
  </si>
  <si>
    <t>lbs CO2e/dry ton for biodrying and pyrolysis</t>
  </si>
  <si>
    <t>City of Cloverdale</t>
  </si>
  <si>
    <t xml:space="preserve">The reference scenario involves sending sludge to three aerated lagoons to accumulate and settle. Lagoons are dredged every 4-6 years. Dredging and hauling by third party vendor. Biosolids are dewatered onsite prior to hauling by an onsite centrifuge. Dewatered biosolids hauled by truck to be land applied at Silva Ranch in Herald, CA. </t>
  </si>
  <si>
    <t xml:space="preserve">The alternative scenario assumes that onsite lagoon storage, dredging, and dewatering are continued. Dewatered solids are hauled to the Town of Windsor WRF for biodrying and pyrolysis. These additional offsite processes require additional operational intensity in terms of energy and chemical inputs, but they also enable reduced offsite biosolids hauling, contaminant destruction, and a beneficial product (biochar) to be used locally. </t>
  </si>
  <si>
    <t>700 Asti Road, Cloverdale</t>
  </si>
  <si>
    <t xml:space="preserve">Aerated lagoons: </t>
  </si>
  <si>
    <t xml:space="preserve">Alternative scenario: </t>
  </si>
  <si>
    <t>* Assumed based on Town of Windsor influent BOD</t>
  </si>
  <si>
    <t>Yes</t>
  </si>
  <si>
    <t>* BEAM*2022 estimates no GHG emissions from onsite lagoons due to their aerobic nature</t>
  </si>
  <si>
    <t>* Assumed to be the same as Town of Windsor's third party dewatering</t>
  </si>
  <si>
    <t>City of Petaluma</t>
  </si>
  <si>
    <t>The reference scenario includes onsite dewatering of waste activated sludge with gravity belt thickener, anaerobic digestion, and dewatering with FKC screw press. Shaftless conveyors load biosolids into trailors. Synagro hauls and manages disposal of biosolids. Biosolids land applied in Solano and Sacramento counties. Biosolids also hauled to Lystek OMRC-FFSD for further processing of Class B biosolids to Class A-EQ biofertilizer.</t>
  </si>
  <si>
    <t>38090 Cypress Drive, Petaluma</t>
  </si>
  <si>
    <t>kW to run gravity belt thickener and feed pump</t>
  </si>
  <si>
    <t>hrs/day of gravity belt thickener and feed pump run time</t>
  </si>
  <si>
    <t>kW to run screw press and feed pump</t>
  </si>
  <si>
    <t>hrs/day of screw press and feed pump run time</t>
  </si>
  <si>
    <t>kWh/day of electricity for thickening/dewatering</t>
  </si>
  <si>
    <t>Polymer for thickening and dewatering</t>
  </si>
  <si>
    <t>miles from Petaluma to Georgia, USA</t>
  </si>
  <si>
    <t>Polymer still required for thickening and dewatering</t>
  </si>
  <si>
    <t>gal polymer/dry ton for thickening</t>
  </si>
  <si>
    <t>gal polymer/dry ton for dewatering</t>
  </si>
  <si>
    <t>ton-miles/dry ton for  polymer</t>
  </si>
  <si>
    <t>Anaerobic Digestion:</t>
  </si>
  <si>
    <t>m3/day of biogas yield</t>
  </si>
  <si>
    <t>methane in anaerobic digester gas</t>
  </si>
  <si>
    <t>m3/day of methane</t>
  </si>
  <si>
    <t>biogas to flare</t>
  </si>
  <si>
    <t>uncombusted biogas to flare (fugitive)</t>
  </si>
  <si>
    <t>kg/m3 density of methane at STP</t>
  </si>
  <si>
    <t>units CO2e/unit of methane</t>
  </si>
  <si>
    <t>lbs CO2e/day of fugitive emission</t>
  </si>
  <si>
    <t>lbs CO2e/dry ton from digester fugitive emissions</t>
  </si>
  <si>
    <t>miles from Petaluma to Lystek OMRC-FFSD</t>
  </si>
  <si>
    <t>miles from Petaluma to Solano County</t>
  </si>
  <si>
    <t>miles from Petaluma to Sacramento County</t>
  </si>
  <si>
    <t>Lytton Rancheria</t>
  </si>
  <si>
    <t xml:space="preserve">The reference scenario includes wasted mixed liquor delivered to aerated holding tank and volume dewatering press. Sludge cake periodically hauled by third party vendor to offsite landfill. Facility comissioned on 3/13/2024, so no biosolids production data yet available, but is estimated based on population served and biosolids production rates of other agencies. Destination landfill is not yet determined. </t>
  </si>
  <si>
    <t xml:space="preserve">1383 Windsor River Road, Windsor, CA 95492 </t>
  </si>
  <si>
    <t>* Biosolids production rate estimated by the number of published EDUs (147), an assumed biosolids production rate of 0.21 dry tons/year/EDU</t>
  </si>
  <si>
    <t>miles from Windsor to LA, CA</t>
  </si>
  <si>
    <t>miles (TBD, assumed Sacramento County)</t>
  </si>
  <si>
    <t>* from Lytton Rancheria to Windsor WRF</t>
  </si>
  <si>
    <t>Sonoma County - SVCSD</t>
  </si>
  <si>
    <t>The reference scenario includes onsite dewatering of waste activated sludge with inert solids screen, gravity sludge thickener, sludge equalization tanks, and mechanical dewatering. Biosolids mechanically compacted for dewatering and no drying process is used. Biosolids trucked by third party hauler to Lystek in Fairfield, CA.</t>
  </si>
  <si>
    <t>22675 8th Street East, Sonoma, CA 95476</t>
  </si>
  <si>
    <t>kWh/day of electricity for thickening mechanism</t>
  </si>
  <si>
    <t>kWh/dry ton of electricity for thickening pump</t>
  </si>
  <si>
    <t>kWh/dry ton of electricity for dewatering</t>
  </si>
  <si>
    <t>kWh/dry ton for thickening and dewatering</t>
  </si>
  <si>
    <t>miles from Sonoma to NTU Technologies</t>
  </si>
  <si>
    <t>miles from Sonoma to Fairfield, CA</t>
  </si>
  <si>
    <t>* from Sonoma to Windsor WRF</t>
  </si>
  <si>
    <t>Sonoma County - RRCSD</t>
  </si>
  <si>
    <t>The reference scenario includes onsite dewatering of secondary waste activated sludge with gravity belt thickener. Biosolids trucked by third party hauler for alternative daily cover at the Redwood Landfill in Novata, CA.</t>
  </si>
  <si>
    <t>18400 Neeley Road, Guerneville, CA 95446</t>
  </si>
  <si>
    <t>miles from Guerneville to Novato</t>
  </si>
  <si>
    <t>miles from Guerneville to Windsor</t>
  </si>
  <si>
    <t>* from Guerneville to Windsor WRF</t>
  </si>
  <si>
    <t>Sonoma County - ALWSZ</t>
  </si>
  <si>
    <t xml:space="preserve">The reference scenario includes no onsite biosolids treatment. Sludge settles at bottom of secondary clarifiers. Third party removal, dewatering, and hauling of sludge by Synagro every 2 years. </t>
  </si>
  <si>
    <t xml:space="preserve">The alternative scenario assumes that onsite sludge settling is continued. Dewatered solids are hauled to the Town of Windsor WRF for biodrying and pyrolysis. These additional offsite processes require additional operational intensity in terms of energy and chemical inputs, but they also enable reduced offsite biosolids hauling, contaminant destruction, and a beneficial product (biochar) to be used locally. </t>
  </si>
  <si>
    <t>800 Aviation Boulevard, Santa Rosa, CA  95403</t>
  </si>
  <si>
    <t>* Estimated based on Windsor's third party dewatering</t>
  </si>
  <si>
    <t>miles from Santa Rosa to Solano</t>
  </si>
  <si>
    <t>miles from Santa Rosa to Sacramento</t>
  </si>
  <si>
    <t>Biosolids Production, dry tons/year</t>
  </si>
  <si>
    <t>Reference Scenario GHGs, mtCO2e/year</t>
  </si>
  <si>
    <t>Alternative Scenario GHGs, mtCO2e/year</t>
  </si>
  <si>
    <t>Year</t>
  </si>
  <si>
    <t>Town of Windsor</t>
  </si>
  <si>
    <t>Annual GHG Reduction, mtCO2e/year</t>
  </si>
  <si>
    <t>Cumulative GHG Reduction, mtCO2e</t>
  </si>
  <si>
    <t>*estimated based upon typical electricity usage of neighboring entities' dewatering processes</t>
  </si>
  <si>
    <t>*estimated based upon typical polymer usage of neighboring entities' thickening processes</t>
  </si>
  <si>
    <t>*Healdsburg Electric - Green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</si>
</sst>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9"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theme="0"/>
      <name val="Aptos Narrow"/>
      <family val="2"/>
      <scheme val="minor"/>
    </font>
    <font>
      <b/>
      <sz val="16"/>
      <color theme="0"/>
      <name val="Aptos Narrow"/>
      <family val="2"/>
      <scheme val="minor"/>
    </font>
    <font>
      <b/>
      <sz val="12"/>
      <color theme="0"/>
      <name val="Aptos Narrow"/>
      <family val="2"/>
      <scheme val="minor"/>
    </font>
    <font>
      <i/>
      <sz val="11"/>
      <color theme="1"/>
      <name val="Aptos Narrow"/>
      <family val="2"/>
      <scheme val="minor"/>
    </font>
    <font>
      <u/>
      <sz val="11"/>
      <color theme="10"/>
      <name val="Aptos Narrow"/>
      <family val="2"/>
      <scheme val="minor"/>
    </font>
    <font>
      <i/>
      <u/>
      <sz val="11"/>
      <color theme="10"/>
      <name val="Aptos Narrow"/>
      <family val="2"/>
      <scheme val="minor"/>
    </font>
  </fonts>
  <fills count="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theme="4"/>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7" fillId="0" borderId="0" applyNumberFormat="0" applyFill="0" applyBorder="0" applyAlignment="0" applyProtection="0"/>
  </cellStyleXfs>
  <cellXfs count="119">
    <xf numFmtId="0" fontId="0" fillId="0" borderId="0" xfId="0"/>
    <xf numFmtId="0" fontId="2" fillId="0" borderId="0" xfId="0" applyFont="1"/>
    <xf numFmtId="0" fontId="0" fillId="2" borderId="1" xfId="0" applyFill="1" applyBorder="1"/>
    <xf numFmtId="0" fontId="0" fillId="3" borderId="1" xfId="0" applyFill="1" applyBorder="1"/>
    <xf numFmtId="0" fontId="0" fillId="4" borderId="1" xfId="0" applyFill="1" applyBorder="1"/>
    <xf numFmtId="0" fontId="0" fillId="0" borderId="0" xfId="0" applyAlignment="1">
      <alignment horizontal="left" wrapText="1"/>
    </xf>
    <xf numFmtId="0" fontId="0" fillId="0" borderId="2" xfId="0" applyBorder="1"/>
    <xf numFmtId="2" fontId="0" fillId="3" borderId="1" xfId="0" applyNumberFormat="1" applyFill="1" applyBorder="1"/>
    <xf numFmtId="0" fontId="4" fillId="5" borderId="0" xfId="0" applyFont="1" applyFill="1"/>
    <xf numFmtId="0" fontId="3" fillId="5" borderId="0" xfId="0" applyFont="1" applyFill="1"/>
    <xf numFmtId="0" fontId="5" fillId="5" borderId="0" xfId="0" applyFont="1" applyFill="1"/>
    <xf numFmtId="0" fontId="2" fillId="6" borderId="0" xfId="0" applyFont="1" applyFill="1"/>
    <xf numFmtId="0" fontId="0" fillId="6" borderId="0" xfId="0" applyFill="1"/>
    <xf numFmtId="0" fontId="0" fillId="7" borderId="1" xfId="0" applyFill="1" applyBorder="1"/>
    <xf numFmtId="0" fontId="0" fillId="6" borderId="2" xfId="0" applyFill="1" applyBorder="1"/>
    <xf numFmtId="0" fontId="0" fillId="0" borderId="0" xfId="0" applyAlignment="1">
      <alignment wrapText="1"/>
    </xf>
    <xf numFmtId="0" fontId="0" fillId="0" borderId="0" xfId="0" quotePrefix="1"/>
    <xf numFmtId="2" fontId="0" fillId="7" borderId="1" xfId="0" applyNumberFormat="1" applyFill="1" applyBorder="1"/>
    <xf numFmtId="164" fontId="0" fillId="7" borderId="1" xfId="0" applyNumberFormat="1" applyFill="1" applyBorder="1"/>
    <xf numFmtId="1" fontId="0" fillId="7" borderId="1" xfId="0" applyNumberFormat="1" applyFill="1" applyBorder="1"/>
    <xf numFmtId="0" fontId="6" fillId="0" borderId="0" xfId="0" applyFont="1"/>
    <xf numFmtId="9" fontId="0" fillId="3" borderId="1" xfId="0" applyNumberFormat="1" applyFill="1" applyBorder="1"/>
    <xf numFmtId="2" fontId="0" fillId="2" borderId="1" xfId="0" applyNumberFormat="1" applyFill="1" applyBorder="1"/>
    <xf numFmtId="0" fontId="8" fillId="0" borderId="0" xfId="2" applyFont="1"/>
    <xf numFmtId="1" fontId="0" fillId="4" borderId="1" xfId="0" applyNumberFormat="1" applyFill="1" applyBorder="1"/>
    <xf numFmtId="1" fontId="0" fillId="0" borderId="0" xfId="0" applyNumberFormat="1"/>
    <xf numFmtId="0" fontId="0" fillId="0" borderId="0" xfId="0" applyAlignment="1">
      <alignment horizontal="left" vertical="top"/>
    </xf>
    <xf numFmtId="164" fontId="0" fillId="4" borderId="6" xfId="0" applyNumberFormat="1" applyFill="1" applyBorder="1"/>
    <xf numFmtId="0" fontId="0" fillId="3" borderId="6" xfId="0" applyFill="1" applyBorder="1"/>
    <xf numFmtId="1" fontId="0" fillId="7" borderId="6" xfId="0" applyNumberFormat="1" applyFill="1" applyBorder="1"/>
    <xf numFmtId="0" fontId="0" fillId="2" borderId="6" xfId="0" applyFill="1" applyBorder="1"/>
    <xf numFmtId="9" fontId="0" fillId="3" borderId="6" xfId="0" applyNumberFormat="1" applyFill="1" applyBorder="1"/>
    <xf numFmtId="0" fontId="0" fillId="7" borderId="6" xfId="0" applyFill="1" applyBorder="1"/>
    <xf numFmtId="2" fontId="0" fillId="7" borderId="6" xfId="0" applyNumberFormat="1" applyFill="1" applyBorder="1"/>
    <xf numFmtId="164" fontId="0" fillId="7" borderId="6" xfId="0" applyNumberFormat="1" applyFill="1" applyBorder="1"/>
    <xf numFmtId="9" fontId="0" fillId="3" borderId="1" xfId="1" applyFont="1" applyFill="1" applyBorder="1"/>
    <xf numFmtId="164" fontId="0" fillId="0" borderId="0" xfId="0" applyNumberFormat="1"/>
    <xf numFmtId="164" fontId="0" fillId="4" borderId="1" xfId="0" applyNumberFormat="1" applyFill="1" applyBorder="1" applyAlignment="1">
      <alignment vertical="center"/>
    </xf>
    <xf numFmtId="164" fontId="0" fillId="4" borderId="6" xfId="0" applyNumberFormat="1" applyFill="1" applyBorder="1" applyAlignment="1">
      <alignment vertical="center"/>
    </xf>
    <xf numFmtId="164" fontId="0" fillId="4" borderId="7" xfId="0" applyNumberFormat="1" applyFill="1" applyBorder="1"/>
    <xf numFmtId="164" fontId="2" fillId="0" borderId="8" xfId="0" applyNumberFormat="1" applyFont="1" applyBorder="1"/>
    <xf numFmtId="0" fontId="0" fillId="0" borderId="9" xfId="0" applyBorder="1"/>
    <xf numFmtId="0" fontId="0" fillId="0" borderId="10" xfId="0" applyBorder="1"/>
    <xf numFmtId="0" fontId="0" fillId="0" borderId="13" xfId="0" applyBorder="1"/>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wrapText="1"/>
    </xf>
    <xf numFmtId="3" fontId="0" fillId="0" borderId="1" xfId="0" applyNumberFormat="1" applyBorder="1" applyAlignment="1">
      <alignment wrapText="1"/>
    </xf>
    <xf numFmtId="0" fontId="0" fillId="6" borderId="1" xfId="0" applyFill="1" applyBorder="1"/>
    <xf numFmtId="164" fontId="0" fillId="6" borderId="1" xfId="0" applyNumberFormat="1" applyFill="1" applyBorder="1"/>
    <xf numFmtId="164" fontId="6" fillId="0" borderId="0" xfId="0" applyNumberFormat="1" applyFont="1"/>
    <xf numFmtId="0" fontId="6" fillId="0" borderId="2" xfId="0" applyFont="1" applyBorder="1"/>
    <xf numFmtId="0" fontId="0" fillId="0" borderId="14" xfId="0" applyBorder="1"/>
    <xf numFmtId="0" fontId="6" fillId="0" borderId="14" xfId="0" applyFont="1" applyBorder="1"/>
    <xf numFmtId="0" fontId="0" fillId="8" borderId="1" xfId="0" applyFill="1" applyBorder="1" applyAlignment="1">
      <alignment wrapText="1"/>
    </xf>
    <xf numFmtId="3" fontId="0" fillId="8" borderId="1" xfId="0" applyNumberFormat="1" applyFill="1" applyBorder="1" applyAlignment="1">
      <alignment wrapText="1"/>
    </xf>
    <xf numFmtId="166" fontId="0" fillId="8" borderId="1" xfId="0" applyNumberFormat="1" applyFill="1" applyBorder="1" applyAlignment="1">
      <alignment wrapText="1"/>
    </xf>
    <xf numFmtId="4" fontId="0" fillId="8" borderId="1" xfId="0" applyNumberFormat="1" applyFill="1" applyBorder="1" applyAlignment="1">
      <alignment wrapText="1"/>
    </xf>
    <xf numFmtId="166" fontId="0" fillId="0" borderId="1" xfId="0" applyNumberFormat="1" applyBorder="1" applyAlignment="1">
      <alignment wrapText="1"/>
    </xf>
    <xf numFmtId="4" fontId="0" fillId="0" borderId="1" xfId="0" applyNumberFormat="1" applyBorder="1" applyAlignment="1">
      <alignment wrapText="1"/>
    </xf>
    <xf numFmtId="1" fontId="0" fillId="4" borderId="6" xfId="0" applyNumberFormat="1" applyFill="1" applyBorder="1"/>
    <xf numFmtId="0" fontId="6" fillId="0" borderId="17" xfId="0" applyFont="1" applyBorder="1"/>
    <xf numFmtId="9" fontId="0" fillId="3" borderId="6" xfId="1" applyFont="1" applyFill="1" applyBorder="1"/>
    <xf numFmtId="164" fontId="2" fillId="0" borderId="9" xfId="0" applyNumberFormat="1" applyFont="1" applyBorder="1"/>
    <xf numFmtId="0" fontId="0" fillId="0" borderId="18" xfId="0" applyBorder="1"/>
    <xf numFmtId="0" fontId="0" fillId="3" borderId="1" xfId="0" applyFill="1" applyBorder="1" applyAlignment="1">
      <alignment vertical="center"/>
    </xf>
    <xf numFmtId="0" fontId="0" fillId="6" borderId="1" xfId="0" applyFill="1" applyBorder="1" applyAlignment="1">
      <alignment vertical="center"/>
    </xf>
    <xf numFmtId="164" fontId="0" fillId="4" borderId="0" xfId="0" applyNumberFormat="1" applyFill="1" applyAlignment="1">
      <alignment vertical="center"/>
    </xf>
    <xf numFmtId="164" fontId="0" fillId="0" borderId="0" xfId="0" applyNumberFormat="1" applyAlignment="1">
      <alignment vertical="center"/>
    </xf>
    <xf numFmtId="164" fontId="2" fillId="0" borderId="20" xfId="0" applyNumberFormat="1" applyFont="1" applyBorder="1"/>
    <xf numFmtId="0" fontId="0" fillId="0" borderId="12" xfId="0" applyBorder="1"/>
    <xf numFmtId="0" fontId="0" fillId="0" borderId="11" xfId="0" applyBorder="1"/>
    <xf numFmtId="164" fontId="0" fillId="6" borderId="1" xfId="0" applyNumberFormat="1" applyFill="1" applyBorder="1" applyAlignment="1">
      <alignment vertical="center"/>
    </xf>
    <xf numFmtId="165" fontId="2" fillId="0" borderId="8" xfId="0" applyNumberFormat="1" applyFont="1" applyBorder="1"/>
    <xf numFmtId="2" fontId="0" fillId="4" borderId="1" xfId="0" applyNumberFormat="1" applyFill="1" applyBorder="1" applyAlignment="1">
      <alignment vertical="center"/>
    </xf>
    <xf numFmtId="0" fontId="0" fillId="6" borderId="3" xfId="0" applyFill="1" applyBorder="1"/>
    <xf numFmtId="0" fontId="0" fillId="0" borderId="3" xfId="0" applyBorder="1"/>
    <xf numFmtId="0" fontId="6" fillId="0" borderId="3" xfId="0" applyFont="1" applyBorder="1"/>
    <xf numFmtId="2" fontId="0" fillId="7" borderId="7" xfId="0" applyNumberFormat="1" applyFill="1" applyBorder="1"/>
    <xf numFmtId="2" fontId="0" fillId="7" borderId="21" xfId="0" applyNumberFormat="1" applyFill="1" applyBorder="1"/>
    <xf numFmtId="0" fontId="0" fillId="0" borderId="0" xfId="0" applyAlignment="1">
      <alignment horizontal="left" vertical="top" wrapText="1"/>
    </xf>
    <xf numFmtId="0" fontId="0" fillId="0" borderId="2" xfId="0" applyBorder="1" applyAlignment="1">
      <alignment horizontal="left" vertical="top" wrapText="1"/>
    </xf>
    <xf numFmtId="0" fontId="0" fillId="3" borderId="1" xfId="0" applyFill="1" applyBorder="1" applyAlignment="1">
      <alignment horizontal="left"/>
    </xf>
    <xf numFmtId="0" fontId="0" fillId="0" borderId="3" xfId="0" applyBorder="1" applyAlignment="1">
      <alignment horizontal="left" wrapText="1"/>
    </xf>
    <xf numFmtId="0" fontId="0" fillId="0" borderId="0" xfId="0" applyAlignment="1">
      <alignment horizontal="left" wrapText="1"/>
    </xf>
    <xf numFmtId="0" fontId="6" fillId="0" borderId="0" xfId="0" applyFont="1" applyAlignment="1">
      <alignment horizontal="left" vertical="top" wrapText="1"/>
    </xf>
    <xf numFmtId="0" fontId="6" fillId="0" borderId="2" xfId="0" applyFont="1" applyBorder="1" applyAlignment="1">
      <alignment horizontal="left" vertical="top" wrapText="1"/>
    </xf>
    <xf numFmtId="0" fontId="0" fillId="2" borderId="4" xfId="0" applyFill="1" applyBorder="1" applyAlignment="1">
      <alignment horizontal="left"/>
    </xf>
    <xf numFmtId="0" fontId="0" fillId="2" borderId="5" xfId="0" applyFill="1" applyBorder="1" applyAlignment="1">
      <alignment horizontal="left"/>
    </xf>
    <xf numFmtId="0" fontId="0" fillId="2" borderId="6" xfId="0" applyFill="1" applyBorder="1" applyAlignment="1">
      <alignment horizontal="left"/>
    </xf>
    <xf numFmtId="0" fontId="0" fillId="2" borderId="4" xfId="0" applyFill="1" applyBorder="1" applyAlignment="1">
      <alignment horizontal="left" vertical="center"/>
    </xf>
    <xf numFmtId="0" fontId="0" fillId="2" borderId="5" xfId="0" applyFill="1" applyBorder="1" applyAlignment="1">
      <alignment horizontal="left" vertical="center"/>
    </xf>
    <xf numFmtId="0" fontId="0" fillId="2" borderId="6" xfId="0" applyFill="1" applyBorder="1" applyAlignment="1">
      <alignment horizontal="left" vertical="center"/>
    </xf>
    <xf numFmtId="0" fontId="0" fillId="0" borderId="3" xfId="0" applyBorder="1" applyAlignment="1">
      <alignment horizontal="left" vertical="top" wrapText="1"/>
    </xf>
    <xf numFmtId="0" fontId="0" fillId="0" borderId="2" xfId="0" applyBorder="1" applyAlignment="1">
      <alignment horizontal="left" wrapText="1"/>
    </xf>
    <xf numFmtId="164" fontId="0" fillId="0" borderId="0" xfId="0" applyNumberFormat="1" applyAlignment="1">
      <alignment horizontal="left" vertical="top" wrapText="1"/>
    </xf>
    <xf numFmtId="1" fontId="0" fillId="0" borderId="0" xfId="0" applyNumberFormat="1" applyAlignment="1">
      <alignment horizontal="left" vertical="top" wrapText="1"/>
    </xf>
    <xf numFmtId="1" fontId="0" fillId="0" borderId="2" xfId="0" applyNumberFormat="1" applyBorder="1" applyAlignment="1">
      <alignment horizontal="left" vertical="top" wrapText="1"/>
    </xf>
    <xf numFmtId="164" fontId="0" fillId="0" borderId="2" xfId="0" applyNumberFormat="1" applyBorder="1" applyAlignment="1">
      <alignment horizontal="left" vertical="top" wrapText="1"/>
    </xf>
    <xf numFmtId="164" fontId="0" fillId="0" borderId="12" xfId="0" applyNumberFormat="1" applyBorder="1" applyAlignment="1">
      <alignment horizontal="left" vertical="top" wrapText="1"/>
    </xf>
    <xf numFmtId="164" fontId="0" fillId="0" borderId="11" xfId="0" applyNumberFormat="1" applyBorder="1" applyAlignment="1">
      <alignment horizontal="left" vertical="top" wrapText="1"/>
    </xf>
    <xf numFmtId="0" fontId="7" fillId="0" borderId="0" xfId="2" applyBorder="1" applyAlignment="1">
      <alignment horizontal="left" vertical="top" wrapText="1"/>
    </xf>
    <xf numFmtId="0" fontId="7" fillId="0" borderId="2" xfId="2" applyBorder="1" applyAlignment="1">
      <alignment horizontal="left" vertical="top" wrapText="1"/>
    </xf>
    <xf numFmtId="164" fontId="0" fillId="0" borderId="1" xfId="0" applyNumberFormat="1" applyBorder="1" applyAlignment="1">
      <alignment horizontal="left" vertical="center" wrapText="1"/>
    </xf>
    <xf numFmtId="0" fontId="6" fillId="0" borderId="0" xfId="0" applyFont="1" applyAlignment="1">
      <alignment horizontal="left" wrapText="1"/>
    </xf>
    <xf numFmtId="0" fontId="6" fillId="0" borderId="2" xfId="0" applyFont="1" applyBorder="1" applyAlignment="1">
      <alignment horizontal="left" wrapText="1"/>
    </xf>
    <xf numFmtId="164" fontId="0" fillId="4" borderId="1" xfId="0" applyNumberFormat="1" applyFill="1" applyBorder="1" applyAlignment="1">
      <alignment horizontal="right" vertical="center"/>
    </xf>
    <xf numFmtId="164" fontId="0" fillId="4" borderId="14" xfId="0" applyNumberFormat="1" applyFill="1" applyBorder="1" applyAlignment="1">
      <alignment horizontal="right" vertical="center"/>
    </xf>
    <xf numFmtId="164" fontId="0" fillId="4" borderId="3" xfId="0" applyNumberFormat="1" applyFill="1" applyBorder="1" applyAlignment="1">
      <alignment horizontal="right" vertical="center"/>
    </xf>
    <xf numFmtId="164" fontId="0" fillId="0" borderId="1" xfId="0" applyNumberFormat="1" applyBorder="1" applyAlignment="1">
      <alignment horizontal="left" vertical="top" wrapText="1"/>
    </xf>
    <xf numFmtId="164" fontId="0" fillId="0" borderId="19" xfId="0" applyNumberFormat="1" applyBorder="1" applyAlignment="1">
      <alignment horizontal="left" vertical="center" wrapText="1"/>
    </xf>
    <xf numFmtId="0" fontId="6" fillId="0" borderId="3"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0" xfId="0" applyFont="1" applyAlignment="1">
      <alignment horizontal="left"/>
    </xf>
    <xf numFmtId="164" fontId="0" fillId="3" borderId="6" xfId="0" applyNumberFormat="1" applyFill="1" applyBorder="1"/>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Annual GHG Reduction</c:v>
          </c:tx>
          <c:spPr>
            <a:solidFill>
              <a:schemeClr val="accent1"/>
            </a:solidFill>
            <a:ln>
              <a:noFill/>
            </a:ln>
            <a:effectLst/>
          </c:spPr>
          <c:invertIfNegative val="0"/>
          <c:cat>
            <c:numRef>
              <c:f>'[1]Annual and Cumulative GHGs'!$A$2:$A$27</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f>'Annual and Cumulative GHGs'!$Z$3:$Z$28</c:f>
              <c:numCache>
                <c:formatCode>#,##0</c:formatCode>
                <c:ptCount val="26"/>
                <c:pt idx="0">
                  <c:v>0</c:v>
                </c:pt>
                <c:pt idx="1">
                  <c:v>0</c:v>
                </c:pt>
                <c:pt idx="2">
                  <c:v>0</c:v>
                </c:pt>
                <c:pt idx="3">
                  <c:v>0</c:v>
                </c:pt>
                <c:pt idx="4">
                  <c:v>0</c:v>
                </c:pt>
                <c:pt idx="5">
                  <c:v>2104.3637548453589</c:v>
                </c:pt>
                <c:pt idx="6">
                  <c:v>2147.0580947930598</c:v>
                </c:pt>
                <c:pt idx="7">
                  <c:v>2189.7524347407611</c:v>
                </c:pt>
                <c:pt idx="8">
                  <c:v>2232.4467746884616</c:v>
                </c:pt>
                <c:pt idx="9">
                  <c:v>2275.1411146361625</c:v>
                </c:pt>
                <c:pt idx="10">
                  <c:v>2317.8354545838638</c:v>
                </c:pt>
                <c:pt idx="11">
                  <c:v>2360.2297376841489</c:v>
                </c:pt>
                <c:pt idx="12">
                  <c:v>2402.624020784433</c:v>
                </c:pt>
                <c:pt idx="13">
                  <c:v>2445.0183038847176</c:v>
                </c:pt>
                <c:pt idx="14">
                  <c:v>2487.4125869850022</c:v>
                </c:pt>
                <c:pt idx="15">
                  <c:v>2529.8068700852868</c:v>
                </c:pt>
                <c:pt idx="16">
                  <c:v>2573.9404206309828</c:v>
                </c:pt>
                <c:pt idx="17">
                  <c:v>2618.0739711766782</c:v>
                </c:pt>
                <c:pt idx="18">
                  <c:v>2662.2075217223737</c:v>
                </c:pt>
                <c:pt idx="19">
                  <c:v>2706.3410722680696</c:v>
                </c:pt>
                <c:pt idx="20">
                  <c:v>2750.4746228137651</c:v>
                </c:pt>
                <c:pt idx="21">
                  <c:v>2791.4296953160556</c:v>
                </c:pt>
                <c:pt idx="22">
                  <c:v>2832.3847678183456</c:v>
                </c:pt>
                <c:pt idx="23">
                  <c:v>2873.3398403206356</c:v>
                </c:pt>
                <c:pt idx="24">
                  <c:v>2914.2949128229247</c:v>
                </c:pt>
                <c:pt idx="25">
                  <c:v>2955.2499853252148</c:v>
                </c:pt>
              </c:numCache>
            </c:numRef>
          </c:val>
          <c:extLst>
            <c:ext xmlns:c16="http://schemas.microsoft.com/office/drawing/2014/chart" uri="{C3380CC4-5D6E-409C-BE32-E72D297353CC}">
              <c16:uniqueId val="{00000000-CB16-4EC1-A3CF-B6AFBB8B81AF}"/>
            </c:ext>
          </c:extLst>
        </c:ser>
        <c:dLbls>
          <c:showLegendKey val="0"/>
          <c:showVal val="0"/>
          <c:showCatName val="0"/>
          <c:showSerName val="0"/>
          <c:showPercent val="0"/>
          <c:showBubbleSize val="0"/>
        </c:dLbls>
        <c:gapWidth val="219"/>
        <c:overlap val="-27"/>
        <c:axId val="528727167"/>
        <c:axId val="528728127"/>
      </c:barChart>
      <c:catAx>
        <c:axId val="5287271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728127"/>
        <c:crosses val="autoZero"/>
        <c:auto val="1"/>
        <c:lblAlgn val="ctr"/>
        <c:lblOffset val="100"/>
        <c:noMultiLvlLbl val="0"/>
      </c:catAx>
      <c:valAx>
        <c:axId val="52872812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Annual GHG Reduction, mtCO2e/year</a:t>
                </a:r>
              </a:p>
            </c:rich>
          </c:tx>
          <c:layout>
            <c:manualLayout>
              <c:xMode val="edge"/>
              <c:yMode val="edge"/>
              <c:x val="2.7777777777777779E-3"/>
              <c:y val="0.15782407407407409"/>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7271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cat>
            <c:numRef>
              <c:f>'[1]Annual and Cumulative GHGs'!$A$2:$A$27</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f>'Annual and Cumulative GHGs'!$AA$3:$AA$28</c:f>
              <c:numCache>
                <c:formatCode>#,##0</c:formatCode>
                <c:ptCount val="26"/>
                <c:pt idx="0">
                  <c:v>0</c:v>
                </c:pt>
                <c:pt idx="1">
                  <c:v>0</c:v>
                </c:pt>
                <c:pt idx="2">
                  <c:v>0</c:v>
                </c:pt>
                <c:pt idx="3">
                  <c:v>0</c:v>
                </c:pt>
                <c:pt idx="4">
                  <c:v>0</c:v>
                </c:pt>
                <c:pt idx="5">
                  <c:v>2104.3637548453589</c:v>
                </c:pt>
                <c:pt idx="6">
                  <c:v>4251.4218496384183</c:v>
                </c:pt>
                <c:pt idx="7">
                  <c:v>6441.1742843791799</c:v>
                </c:pt>
                <c:pt idx="8">
                  <c:v>8673.6210590676419</c:v>
                </c:pt>
                <c:pt idx="9">
                  <c:v>10948.762173703804</c:v>
                </c:pt>
                <c:pt idx="10">
                  <c:v>13266.597628287669</c:v>
                </c:pt>
                <c:pt idx="11">
                  <c:v>15626.827365971818</c:v>
                </c:pt>
                <c:pt idx="12">
                  <c:v>18029.451386756249</c:v>
                </c:pt>
                <c:pt idx="13">
                  <c:v>20474.469690640966</c:v>
                </c:pt>
                <c:pt idx="14">
                  <c:v>22961.882277625969</c:v>
                </c:pt>
                <c:pt idx="15">
                  <c:v>25491.689147711255</c:v>
                </c:pt>
                <c:pt idx="16">
                  <c:v>28065.629568342236</c:v>
                </c:pt>
                <c:pt idx="17">
                  <c:v>30683.703539518916</c:v>
                </c:pt>
                <c:pt idx="18">
                  <c:v>33345.911061241291</c:v>
                </c:pt>
                <c:pt idx="19">
                  <c:v>36052.252133509362</c:v>
                </c:pt>
                <c:pt idx="20">
                  <c:v>38802.726756323129</c:v>
                </c:pt>
                <c:pt idx="21">
                  <c:v>41594.156451639181</c:v>
                </c:pt>
                <c:pt idx="22">
                  <c:v>44426.541219457526</c:v>
                </c:pt>
                <c:pt idx="23">
                  <c:v>47299.881059778163</c:v>
                </c:pt>
                <c:pt idx="24">
                  <c:v>50214.175972601086</c:v>
                </c:pt>
                <c:pt idx="25">
                  <c:v>53169.425957926302</c:v>
                </c:pt>
              </c:numCache>
            </c:numRef>
          </c:val>
          <c:extLst>
            <c:ext xmlns:c16="http://schemas.microsoft.com/office/drawing/2014/chart" uri="{C3380CC4-5D6E-409C-BE32-E72D297353CC}">
              <c16:uniqueId val="{00000000-D12E-450B-BF5C-4684A185D204}"/>
            </c:ext>
          </c:extLst>
        </c:ser>
        <c:dLbls>
          <c:showLegendKey val="0"/>
          <c:showVal val="0"/>
          <c:showCatName val="0"/>
          <c:showSerName val="0"/>
          <c:showPercent val="0"/>
          <c:showBubbleSize val="0"/>
        </c:dLbls>
        <c:gapWidth val="219"/>
        <c:overlap val="-27"/>
        <c:axId val="528727167"/>
        <c:axId val="528728127"/>
      </c:barChart>
      <c:catAx>
        <c:axId val="52872716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728127"/>
        <c:crosses val="autoZero"/>
        <c:auto val="1"/>
        <c:lblAlgn val="ctr"/>
        <c:lblOffset val="100"/>
        <c:noMultiLvlLbl val="0"/>
      </c:catAx>
      <c:valAx>
        <c:axId val="52872812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US" b="1"/>
                  <a:t>Cumulative GHG Reduction, mtCO2e</a:t>
                </a:r>
              </a:p>
            </c:rich>
          </c:tx>
          <c:layout>
            <c:manualLayout>
              <c:xMode val="edge"/>
              <c:yMode val="edge"/>
              <c:x val="1.3888888888888888E-2"/>
              <c:y val="7.9120370370370396E-2"/>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7271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28</xdr:col>
      <xdr:colOff>3175</xdr:colOff>
      <xdr:row>2</xdr:row>
      <xdr:rowOff>0</xdr:rowOff>
    </xdr:from>
    <xdr:to>
      <xdr:col>35</xdr:col>
      <xdr:colOff>291041</xdr:colOff>
      <xdr:row>17</xdr:row>
      <xdr:rowOff>25400</xdr:rowOff>
    </xdr:to>
    <xdr:graphicFrame macro="">
      <xdr:nvGraphicFramePr>
        <xdr:cNvPr id="2" name="Chart 1">
          <a:extLst>
            <a:ext uri="{FF2B5EF4-FFF2-40B4-BE49-F238E27FC236}">
              <a16:creationId xmlns:a16="http://schemas.microsoft.com/office/drawing/2014/main" id="{3E33FAAA-4C82-4024-8FFC-A135B1D246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28</xdr:col>
      <xdr:colOff>0</xdr:colOff>
      <xdr:row>17</xdr:row>
      <xdr:rowOff>138113</xdr:rowOff>
    </xdr:from>
    <xdr:to>
      <xdr:col>35</xdr:col>
      <xdr:colOff>287866</xdr:colOff>
      <xdr:row>32</xdr:row>
      <xdr:rowOff>158750</xdr:rowOff>
    </xdr:to>
    <xdr:graphicFrame macro="">
      <xdr:nvGraphicFramePr>
        <xdr:cNvPr id="3" name="Chart 2">
          <a:extLst>
            <a:ext uri="{FF2B5EF4-FFF2-40B4-BE49-F238E27FC236}">
              <a16:creationId xmlns:a16="http://schemas.microsoft.com/office/drawing/2014/main" id="{83C00662-E33C-468E-8EBD-8AF1E0527D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hazenandsawyer.sharepoint.com/teams/20043-013/Deliverables/GHG%20Emissions%20Quantification/GHG%20Emission%20Reductions%20Calculations_Town_UPDATE%202024%2003%2031.xlsx" TargetMode="External"/><Relationship Id="rId1" Type="http://schemas.openxmlformats.org/officeDocument/2006/relationships/externalLinkPath" Target="GHG%20Emission%20Reductions%20Calculations_Town_UPDATE%202024%2003%203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Windsor Inventory"/>
      <sheetName val="Annual and Cumulative GHGs"/>
    </sheetNames>
    <sheetDataSet>
      <sheetData sheetId="0" refreshError="1"/>
      <sheetData sheetId="1">
        <row r="2">
          <cell r="A2">
            <v>2025</v>
          </cell>
        </row>
        <row r="3">
          <cell r="A3">
            <v>2026</v>
          </cell>
        </row>
        <row r="4">
          <cell r="A4">
            <v>2027</v>
          </cell>
        </row>
        <row r="5">
          <cell r="A5">
            <v>2028</v>
          </cell>
        </row>
        <row r="6">
          <cell r="A6">
            <v>2029</v>
          </cell>
        </row>
        <row r="7">
          <cell r="A7">
            <v>2030</v>
          </cell>
        </row>
        <row r="8">
          <cell r="A8">
            <v>2031</v>
          </cell>
        </row>
        <row r="9">
          <cell r="A9">
            <v>2032</v>
          </cell>
        </row>
        <row r="10">
          <cell r="A10">
            <v>2033</v>
          </cell>
        </row>
        <row r="11">
          <cell r="A11">
            <v>2034</v>
          </cell>
        </row>
        <row r="12">
          <cell r="A12">
            <v>2035</v>
          </cell>
        </row>
        <row r="13">
          <cell r="A13">
            <v>2036</v>
          </cell>
        </row>
        <row r="14">
          <cell r="A14">
            <v>2037</v>
          </cell>
        </row>
        <row r="15">
          <cell r="A15">
            <v>2038</v>
          </cell>
        </row>
        <row r="16">
          <cell r="A16">
            <v>2039</v>
          </cell>
        </row>
        <row r="17">
          <cell r="A17">
            <v>2040</v>
          </cell>
        </row>
        <row r="18">
          <cell r="A18">
            <v>2041</v>
          </cell>
        </row>
        <row r="19">
          <cell r="A19">
            <v>2042</v>
          </cell>
        </row>
        <row r="20">
          <cell r="A20">
            <v>2043</v>
          </cell>
        </row>
        <row r="21">
          <cell r="A21">
            <v>2044</v>
          </cell>
        </row>
        <row r="22">
          <cell r="A22">
            <v>2045</v>
          </cell>
        </row>
        <row r="23">
          <cell r="A23">
            <v>2046</v>
          </cell>
        </row>
        <row r="24">
          <cell r="A24">
            <v>2047</v>
          </cell>
        </row>
        <row r="25">
          <cell r="A25">
            <v>2048</v>
          </cell>
        </row>
        <row r="26">
          <cell r="A26">
            <v>2049</v>
          </cell>
        </row>
        <row r="27">
          <cell r="A27">
            <v>2050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onomacleanpower.org/power-sources" TargetMode="External"/><Relationship Id="rId2" Type="http://schemas.openxmlformats.org/officeDocument/2006/relationships/hyperlink" Target="https://sonomacleanpower.org/power-sources" TargetMode="External"/><Relationship Id="rId1" Type="http://schemas.openxmlformats.org/officeDocument/2006/relationships/hyperlink" Target="https://sonomacleanpower.org/power-sources" TargetMode="External"/><Relationship Id="rId6" Type="http://schemas.openxmlformats.org/officeDocument/2006/relationships/printerSettings" Target="../printerSettings/printerSettings1.bin"/><Relationship Id="rId5" Type="http://schemas.openxmlformats.org/officeDocument/2006/relationships/hyperlink" Target="https://sonomacleanpower.org/power-sources" TargetMode="External"/><Relationship Id="rId4" Type="http://schemas.openxmlformats.org/officeDocument/2006/relationships/hyperlink" Target="https://sonomacleanpower.org/power-source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smartlivinghealdsburg.org/231/Power-Content-Label-and-Energy-Mix"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sonomacleanpower.org/power-sources"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sonomacleanpower.org/power-sources"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sonomacleanpower.org/power-sources"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sonomacleanpower.org/power-source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sonomacleanpower.org/power-sources"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sonomacleanpower.org/power-sources"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B9468-C858-4134-9D9C-B6CA1D631CAD}">
  <dimension ref="A1:M273"/>
  <sheetViews>
    <sheetView topLeftCell="A103" zoomScaleNormal="100" workbookViewId="0">
      <selection activeCell="F137" sqref="F137"/>
    </sheetView>
  </sheetViews>
  <sheetFormatPr defaultRowHeight="14.4" x14ac:dyDescent="0.3"/>
  <sheetData>
    <row r="1" spans="1:10" ht="21" x14ac:dyDescent="0.4">
      <c r="A1" s="8" t="s">
        <v>0</v>
      </c>
      <c r="B1" s="9"/>
      <c r="C1" s="9"/>
      <c r="D1" s="9"/>
      <c r="E1" s="9"/>
      <c r="F1" s="9"/>
      <c r="G1" s="9"/>
      <c r="H1" s="9"/>
      <c r="I1" s="9"/>
      <c r="J1" s="9"/>
    </row>
    <row r="2" spans="1:10" ht="15.6" x14ac:dyDescent="0.3">
      <c r="A2" s="10" t="s">
        <v>1</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9</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10</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30" spans="1:10" x14ac:dyDescent="0.3">
      <c r="A30" s="11" t="s">
        <v>11</v>
      </c>
      <c r="B30" s="12"/>
      <c r="C30" s="12"/>
      <c r="D30" s="12"/>
      <c r="E30" s="14"/>
      <c r="F30" s="12"/>
      <c r="G30" s="12"/>
      <c r="H30" s="12"/>
      <c r="I30" s="12"/>
      <c r="J30" s="12"/>
    </row>
    <row r="31" spans="1:10" x14ac:dyDescent="0.3">
      <c r="E31" s="6"/>
    </row>
    <row r="32" spans="1:10" x14ac:dyDescent="0.3">
      <c r="A32" t="s">
        <v>12</v>
      </c>
      <c r="E32" s="6"/>
      <c r="F32" t="s">
        <v>13</v>
      </c>
    </row>
    <row r="33" spans="1:10" x14ac:dyDescent="0.3">
      <c r="A33" s="83" t="s">
        <v>14</v>
      </c>
      <c r="B33" s="83"/>
      <c r="C33" s="83"/>
      <c r="D33" s="83"/>
      <c r="E33" s="83"/>
      <c r="F33" t="s">
        <v>15</v>
      </c>
    </row>
    <row r="34" spans="1:10" x14ac:dyDescent="0.3">
      <c r="E34" s="6"/>
    </row>
    <row r="35" spans="1:10" x14ac:dyDescent="0.3">
      <c r="A35" s="11" t="s">
        <v>16</v>
      </c>
      <c r="B35" s="12"/>
      <c r="C35" s="12"/>
      <c r="D35" s="12"/>
      <c r="E35" s="14"/>
      <c r="F35" s="12"/>
      <c r="G35" s="12"/>
      <c r="H35" s="12"/>
      <c r="I35" s="12"/>
      <c r="J35" s="12"/>
    </row>
    <row r="36" spans="1:10" x14ac:dyDescent="0.3">
      <c r="E36" s="6"/>
    </row>
    <row r="37" spans="1:10" x14ac:dyDescent="0.3">
      <c r="A37" t="s">
        <v>12</v>
      </c>
      <c r="E37" s="6"/>
      <c r="F37" t="s">
        <v>13</v>
      </c>
    </row>
    <row r="38" spans="1:10" x14ac:dyDescent="0.3">
      <c r="A38">
        <v>2025</v>
      </c>
      <c r="B38" s="3">
        <v>1.77</v>
      </c>
      <c r="C38" t="s">
        <v>17</v>
      </c>
      <c r="E38" s="6"/>
      <c r="F38" t="s">
        <v>15</v>
      </c>
    </row>
    <row r="39" spans="1:10" x14ac:dyDescent="0.3">
      <c r="A39">
        <v>2030</v>
      </c>
      <c r="B39" s="7">
        <v>1.9379999999999999</v>
      </c>
      <c r="C39" t="s">
        <v>17</v>
      </c>
      <c r="E39" s="6"/>
    </row>
    <row r="40" spans="1:10" x14ac:dyDescent="0.3">
      <c r="A40">
        <v>2035</v>
      </c>
      <c r="B40" s="7">
        <v>2.1059999999999999</v>
      </c>
      <c r="C40" t="s">
        <v>17</v>
      </c>
      <c r="E40" s="6"/>
    </row>
    <row r="41" spans="1:10" x14ac:dyDescent="0.3">
      <c r="A41">
        <v>2040</v>
      </c>
      <c r="B41" s="7">
        <v>2.274</v>
      </c>
      <c r="C41" t="s">
        <v>17</v>
      </c>
      <c r="E41" s="6"/>
    </row>
    <row r="42" spans="1:10" x14ac:dyDescent="0.3">
      <c r="A42">
        <v>2045</v>
      </c>
      <c r="B42" s="7">
        <v>2.4420000000000002</v>
      </c>
      <c r="C42" t="s">
        <v>17</v>
      </c>
      <c r="E42" s="6"/>
    </row>
    <row r="43" spans="1:10" x14ac:dyDescent="0.3">
      <c r="A43">
        <v>2050</v>
      </c>
      <c r="B43" s="3">
        <v>2.6100000000000003</v>
      </c>
      <c r="C43" t="s">
        <v>17</v>
      </c>
      <c r="E43" s="6"/>
    </row>
    <row r="44" spans="1:10" x14ac:dyDescent="0.3">
      <c r="E44" s="6"/>
    </row>
    <row r="45" spans="1:10" x14ac:dyDescent="0.3">
      <c r="A45" s="11" t="s">
        <v>18</v>
      </c>
      <c r="B45" s="12"/>
      <c r="C45" s="12"/>
      <c r="D45" s="12"/>
      <c r="E45" s="14"/>
      <c r="F45" s="12"/>
      <c r="G45" s="12"/>
      <c r="H45" s="12"/>
      <c r="I45" s="12"/>
      <c r="J45" s="12"/>
    </row>
    <row r="46" spans="1:10" x14ac:dyDescent="0.3">
      <c r="E46" s="6"/>
    </row>
    <row r="47" spans="1:10" x14ac:dyDescent="0.3">
      <c r="A47" t="s">
        <v>12</v>
      </c>
      <c r="E47" s="6"/>
      <c r="F47" t="s">
        <v>13</v>
      </c>
    </row>
    <row r="48" spans="1:10" x14ac:dyDescent="0.3">
      <c r="E48" s="6"/>
    </row>
    <row r="49" spans="1:10" ht="29.4" customHeight="1" x14ac:dyDescent="0.3">
      <c r="A49" s="81" t="s">
        <v>19</v>
      </c>
      <c r="B49" s="81"/>
      <c r="C49" s="81"/>
      <c r="D49" s="81"/>
      <c r="E49" s="82"/>
      <c r="F49" s="84" t="s">
        <v>20</v>
      </c>
      <c r="G49" s="85"/>
      <c r="H49" s="85"/>
      <c r="I49" s="85"/>
      <c r="J49" s="85"/>
    </row>
    <row r="50" spans="1:10" x14ac:dyDescent="0.3">
      <c r="A50" t="s">
        <v>21</v>
      </c>
      <c r="E50" s="6"/>
      <c r="F50" s="84"/>
      <c r="G50" s="85"/>
      <c r="H50" s="85"/>
      <c r="I50" s="85"/>
      <c r="J50" s="85"/>
    </row>
    <row r="51" spans="1:10" x14ac:dyDescent="0.3">
      <c r="A51" s="16" t="s">
        <v>22</v>
      </c>
      <c r="E51" s="6"/>
      <c r="F51" s="84"/>
      <c r="G51" s="85"/>
      <c r="H51" s="85"/>
      <c r="I51" s="85"/>
      <c r="J51" s="85"/>
    </row>
    <row r="52" spans="1:10" x14ac:dyDescent="0.3">
      <c r="A52" s="16" t="s">
        <v>23</v>
      </c>
      <c r="E52" s="6"/>
    </row>
    <row r="53" spans="1:10" x14ac:dyDescent="0.3">
      <c r="A53" s="16" t="s">
        <v>24</v>
      </c>
      <c r="E53" s="6"/>
    </row>
    <row r="54" spans="1:10" x14ac:dyDescent="0.3">
      <c r="E54" s="6"/>
    </row>
    <row r="55" spans="1:10" x14ac:dyDescent="0.3">
      <c r="A55" t="s">
        <v>25</v>
      </c>
      <c r="E55" s="6"/>
    </row>
    <row r="56" spans="1:10" x14ac:dyDescent="0.3">
      <c r="A56" s="2">
        <v>1.77</v>
      </c>
      <c r="B56" t="s">
        <v>26</v>
      </c>
      <c r="E56" s="6"/>
    </row>
    <row r="57" spans="1:10" x14ac:dyDescent="0.3">
      <c r="A57" s="2">
        <v>1815</v>
      </c>
      <c r="B57" t="s">
        <v>27</v>
      </c>
      <c r="E57" s="6"/>
    </row>
    <row r="58" spans="1:10" ht="12.9" customHeight="1" x14ac:dyDescent="0.3">
      <c r="A58" s="86" t="s">
        <v>28</v>
      </c>
      <c r="B58" s="86"/>
      <c r="C58" s="86"/>
      <c r="D58" s="86"/>
      <c r="E58" s="6"/>
    </row>
    <row r="59" spans="1:10" x14ac:dyDescent="0.3">
      <c r="A59" s="86"/>
      <c r="B59" s="86"/>
      <c r="C59" s="86"/>
      <c r="D59" s="86"/>
      <c r="E59" s="6"/>
    </row>
    <row r="60" spans="1:10" x14ac:dyDescent="0.3">
      <c r="E60" s="6"/>
    </row>
    <row r="61" spans="1:10" x14ac:dyDescent="0.3">
      <c r="A61" t="s">
        <v>29</v>
      </c>
      <c r="E61" s="6"/>
    </row>
    <row r="62" spans="1:10" x14ac:dyDescent="0.3">
      <c r="A62" s="19">
        <f>A57/A56</f>
        <v>1025.4237288135594</v>
      </c>
      <c r="B62" t="s">
        <v>30</v>
      </c>
      <c r="E62" s="6"/>
    </row>
    <row r="63" spans="1:10" x14ac:dyDescent="0.3">
      <c r="E63" s="6"/>
    </row>
    <row r="64" spans="1:10" x14ac:dyDescent="0.3">
      <c r="A64" s="2">
        <f>B43</f>
        <v>2.6100000000000003</v>
      </c>
      <c r="B64" t="s">
        <v>31</v>
      </c>
      <c r="E64" s="6"/>
    </row>
    <row r="65" spans="1:10" x14ac:dyDescent="0.3">
      <c r="A65" s="19">
        <f>A64*A62</f>
        <v>2676.3559322033902</v>
      </c>
      <c r="B65" t="s">
        <v>32</v>
      </c>
      <c r="E65" s="6"/>
    </row>
    <row r="66" spans="1:10" x14ac:dyDescent="0.3">
      <c r="A66" s="20" t="s">
        <v>33</v>
      </c>
      <c r="E66" s="6"/>
    </row>
    <row r="67" spans="1:10" x14ac:dyDescent="0.3">
      <c r="E67" s="6"/>
    </row>
    <row r="68" spans="1:10" x14ac:dyDescent="0.3">
      <c r="A68" t="s">
        <v>34</v>
      </c>
      <c r="E68" s="6"/>
    </row>
    <row r="69" spans="1:10" x14ac:dyDescent="0.3">
      <c r="A69" s="2" t="s">
        <v>35</v>
      </c>
      <c r="E69" s="6"/>
    </row>
    <row r="70" spans="1:10" x14ac:dyDescent="0.3">
      <c r="A70" t="s">
        <v>36</v>
      </c>
      <c r="E70" s="6"/>
    </row>
    <row r="71" spans="1:10" x14ac:dyDescent="0.3">
      <c r="A71" s="2" t="s">
        <v>35</v>
      </c>
      <c r="E71" s="6"/>
    </row>
    <row r="72" spans="1:10" x14ac:dyDescent="0.3">
      <c r="E72" s="6"/>
    </row>
    <row r="73" spans="1:10" x14ac:dyDescent="0.3">
      <c r="A73" t="s">
        <v>37</v>
      </c>
      <c r="E73" s="6"/>
    </row>
    <row r="74" spans="1:10" x14ac:dyDescent="0.3">
      <c r="A74" s="22">
        <v>10.02</v>
      </c>
      <c r="B74" t="s">
        <v>38</v>
      </c>
      <c r="E74" s="6"/>
    </row>
    <row r="75" spans="1:10" x14ac:dyDescent="0.3">
      <c r="A75" s="17">
        <f>A74/A64</f>
        <v>3.8390804597701145</v>
      </c>
      <c r="B75" t="s">
        <v>39</v>
      </c>
      <c r="E75" s="6"/>
    </row>
    <row r="76" spans="1:10" x14ac:dyDescent="0.3">
      <c r="A76" s="24">
        <f>A75*2204.62</f>
        <v>8463.713563218389</v>
      </c>
      <c r="B76" t="s">
        <v>40</v>
      </c>
      <c r="E76" s="6"/>
    </row>
    <row r="77" spans="1:10" x14ac:dyDescent="0.3">
      <c r="E77" s="6"/>
    </row>
    <row r="78" spans="1:10" x14ac:dyDescent="0.3">
      <c r="A78" s="11" t="s">
        <v>41</v>
      </c>
      <c r="B78" s="12"/>
      <c r="C78" s="12"/>
      <c r="D78" s="12"/>
      <c r="E78" s="14"/>
      <c r="F78" s="12"/>
      <c r="G78" s="12"/>
      <c r="H78" s="12"/>
      <c r="I78" s="12"/>
      <c r="J78" s="12"/>
    </row>
    <row r="79" spans="1:10" x14ac:dyDescent="0.3">
      <c r="E79" s="6"/>
    </row>
    <row r="80" spans="1:10" x14ac:dyDescent="0.3">
      <c r="A80" t="s">
        <v>12</v>
      </c>
      <c r="E80" s="6"/>
      <c r="F80" t="s">
        <v>13</v>
      </c>
    </row>
    <row r="81" spans="1:10" x14ac:dyDescent="0.3">
      <c r="E81" s="6"/>
    </row>
    <row r="82" spans="1:10" x14ac:dyDescent="0.3">
      <c r="A82" t="s">
        <v>42</v>
      </c>
      <c r="E82" s="6"/>
      <c r="F82" t="s">
        <v>43</v>
      </c>
    </row>
    <row r="83" spans="1:10" x14ac:dyDescent="0.3">
      <c r="A83" s="3">
        <v>37.85</v>
      </c>
      <c r="B83" t="s">
        <v>44</v>
      </c>
      <c r="E83" s="6"/>
      <c r="F83" s="3">
        <v>68790</v>
      </c>
      <c r="G83" t="s">
        <v>45</v>
      </c>
    </row>
    <row r="84" spans="1:10" x14ac:dyDescent="0.3">
      <c r="A84" s="86" t="s">
        <v>46</v>
      </c>
      <c r="B84" s="86"/>
      <c r="C84" s="86"/>
      <c r="D84" s="86"/>
      <c r="E84" s="6"/>
      <c r="F84" s="3">
        <v>756680</v>
      </c>
      <c r="G84" t="s">
        <v>47</v>
      </c>
    </row>
    <row r="85" spans="1:10" x14ac:dyDescent="0.3">
      <c r="A85" s="86"/>
      <c r="B85" s="86"/>
      <c r="C85" s="86"/>
      <c r="D85" s="86"/>
      <c r="E85" s="6"/>
      <c r="F85" s="3">
        <v>90913</v>
      </c>
      <c r="G85" t="s">
        <v>48</v>
      </c>
    </row>
    <row r="86" spans="1:10" x14ac:dyDescent="0.3">
      <c r="E86" s="6"/>
      <c r="F86" s="3">
        <v>343945</v>
      </c>
      <c r="G86" t="s">
        <v>49</v>
      </c>
    </row>
    <row r="87" spans="1:10" x14ac:dyDescent="0.3">
      <c r="A87" t="s">
        <v>50</v>
      </c>
      <c r="E87" s="6"/>
    </row>
    <row r="88" spans="1:10" x14ac:dyDescent="0.3">
      <c r="A88" s="21">
        <v>0</v>
      </c>
      <c r="E88" s="6"/>
      <c r="F88" t="s">
        <v>51</v>
      </c>
    </row>
    <row r="89" spans="1:10" x14ac:dyDescent="0.3">
      <c r="A89" s="86" t="s">
        <v>52</v>
      </c>
      <c r="B89" s="86"/>
      <c r="C89" s="86"/>
      <c r="D89" s="86"/>
      <c r="E89" s="87"/>
      <c r="F89" s="19">
        <f>(F83/365)/$B$43</f>
        <v>72.209100928987553</v>
      </c>
      <c r="G89" t="s">
        <v>53</v>
      </c>
    </row>
    <row r="90" spans="1:10" x14ac:dyDescent="0.3">
      <c r="A90" s="86"/>
      <c r="B90" s="86"/>
      <c r="C90" s="86"/>
      <c r="D90" s="86"/>
      <c r="E90" s="87"/>
      <c r="F90" s="19">
        <f t="shared" ref="F90:F92" si="0">(F84/365)/$B$43</f>
        <v>794.28961318427537</v>
      </c>
      <c r="G90" t="s">
        <v>54</v>
      </c>
    </row>
    <row r="91" spans="1:10" x14ac:dyDescent="0.3">
      <c r="A91" s="86"/>
      <c r="B91" s="86"/>
      <c r="C91" s="86"/>
      <c r="D91" s="86"/>
      <c r="E91" s="87"/>
      <c r="F91" s="19">
        <f t="shared" si="0"/>
        <v>95.431690547420345</v>
      </c>
      <c r="G91" t="s">
        <v>55</v>
      </c>
    </row>
    <row r="92" spans="1:10" x14ac:dyDescent="0.3">
      <c r="A92" s="86"/>
      <c r="B92" s="86"/>
      <c r="C92" s="86"/>
      <c r="D92" s="86"/>
      <c r="E92" s="87"/>
      <c r="F92" s="19">
        <f t="shared" si="0"/>
        <v>361.04025612764389</v>
      </c>
      <c r="G92" t="s">
        <v>56</v>
      </c>
    </row>
    <row r="93" spans="1:10" x14ac:dyDescent="0.3">
      <c r="E93" s="6"/>
      <c r="F93" s="25"/>
    </row>
    <row r="94" spans="1:10" x14ac:dyDescent="0.3">
      <c r="A94" t="s">
        <v>57</v>
      </c>
      <c r="E94" s="6"/>
      <c r="F94" t="s">
        <v>50</v>
      </c>
      <c r="J94" s="6"/>
    </row>
    <row r="95" spans="1:10" x14ac:dyDescent="0.3">
      <c r="A95" s="88" t="s">
        <v>58</v>
      </c>
      <c r="B95" s="89"/>
      <c r="C95" s="89"/>
      <c r="D95" s="90"/>
      <c r="E95" s="6"/>
      <c r="F95" s="21">
        <v>0</v>
      </c>
      <c r="J95" s="6"/>
    </row>
    <row r="96" spans="1:10" ht="14.4" customHeight="1" x14ac:dyDescent="0.3">
      <c r="E96" s="6"/>
      <c r="F96" s="86" t="s">
        <v>52</v>
      </c>
      <c r="G96" s="86"/>
      <c r="H96" s="86"/>
      <c r="I96" s="86"/>
      <c r="J96" s="87"/>
    </row>
    <row r="97" spans="1:10" x14ac:dyDescent="0.3">
      <c r="A97" t="s">
        <v>59</v>
      </c>
      <c r="E97" s="6"/>
      <c r="F97" s="86"/>
      <c r="G97" s="86"/>
      <c r="H97" s="86"/>
      <c r="I97" s="86"/>
      <c r="J97" s="87"/>
    </row>
    <row r="98" spans="1:10" x14ac:dyDescent="0.3">
      <c r="A98" s="2">
        <v>70</v>
      </c>
      <c r="B98" t="s">
        <v>60</v>
      </c>
      <c r="E98" s="6"/>
      <c r="F98" s="86"/>
      <c r="G98" s="86"/>
      <c r="H98" s="86"/>
      <c r="I98" s="86"/>
      <c r="J98" s="87"/>
    </row>
    <row r="99" spans="1:10" x14ac:dyDescent="0.3">
      <c r="A99" s="23" t="s">
        <v>61</v>
      </c>
      <c r="E99" s="6"/>
      <c r="F99" s="86"/>
      <c r="G99" s="86"/>
      <c r="H99" s="86"/>
      <c r="I99" s="86"/>
      <c r="J99" s="87"/>
    </row>
    <row r="100" spans="1:10" x14ac:dyDescent="0.3">
      <c r="E100" s="6"/>
    </row>
    <row r="101" spans="1:10" x14ac:dyDescent="0.3">
      <c r="A101" t="s">
        <v>62</v>
      </c>
      <c r="E101" s="6"/>
      <c r="F101" t="s">
        <v>57</v>
      </c>
      <c r="J101" s="6"/>
    </row>
    <row r="102" spans="1:10" ht="29.4" customHeight="1" x14ac:dyDescent="0.3">
      <c r="A102" s="37">
        <f>(1-$A$88)*A83*($A$98/1000)</f>
        <v>2.6495000000000002</v>
      </c>
      <c r="B102" s="84" t="s">
        <v>63</v>
      </c>
      <c r="C102" s="85"/>
      <c r="D102" s="85"/>
      <c r="E102" s="95"/>
      <c r="F102" s="91" t="s">
        <v>58</v>
      </c>
      <c r="G102" s="92"/>
      <c r="H102" s="92"/>
      <c r="I102" s="93"/>
      <c r="J102" s="6"/>
    </row>
    <row r="103" spans="1:10" x14ac:dyDescent="0.3">
      <c r="E103" s="6"/>
      <c r="J103" s="6"/>
    </row>
    <row r="104" spans="1:10" x14ac:dyDescent="0.3">
      <c r="A104" s="1"/>
      <c r="E104" s="6"/>
      <c r="F104" t="s">
        <v>59</v>
      </c>
      <c r="J104" s="6"/>
    </row>
    <row r="105" spans="1:10" x14ac:dyDescent="0.3">
      <c r="E105" s="6"/>
      <c r="F105" s="2">
        <v>70</v>
      </c>
      <c r="G105" t="s">
        <v>60</v>
      </c>
      <c r="J105" s="6"/>
    </row>
    <row r="106" spans="1:10" x14ac:dyDescent="0.3">
      <c r="E106" s="6"/>
      <c r="F106" s="23" t="s">
        <v>61</v>
      </c>
      <c r="J106" s="6"/>
    </row>
    <row r="107" spans="1:10" x14ac:dyDescent="0.3">
      <c r="E107" s="6"/>
      <c r="J107" s="6"/>
    </row>
    <row r="108" spans="1:10" x14ac:dyDescent="0.3">
      <c r="E108" s="6"/>
      <c r="F108" t="s">
        <v>62</v>
      </c>
      <c r="J108" s="6"/>
    </row>
    <row r="109" spans="1:10" ht="27.9" customHeight="1" x14ac:dyDescent="0.3">
      <c r="E109" s="6"/>
      <c r="F109" s="37">
        <f>SUM(F89:F92)*(F105/1000)</f>
        <v>92.60794625518291</v>
      </c>
      <c r="G109" s="84" t="s">
        <v>64</v>
      </c>
      <c r="H109" s="85"/>
      <c r="I109" s="85"/>
      <c r="J109" s="85"/>
    </row>
    <row r="110" spans="1:10" x14ac:dyDescent="0.3">
      <c r="E110" s="6"/>
    </row>
    <row r="111" spans="1:10" x14ac:dyDescent="0.3">
      <c r="A111" s="11" t="s">
        <v>65</v>
      </c>
      <c r="B111" s="12"/>
      <c r="C111" s="12"/>
      <c r="D111" s="12"/>
      <c r="E111" s="14"/>
      <c r="F111" s="12"/>
      <c r="G111" s="12"/>
      <c r="H111" s="12"/>
      <c r="I111" s="12"/>
      <c r="J111" s="12"/>
    </row>
    <row r="112" spans="1:10" x14ac:dyDescent="0.3">
      <c r="E112" s="6"/>
    </row>
    <row r="113" spans="1:10" x14ac:dyDescent="0.3">
      <c r="A113" t="s">
        <v>12</v>
      </c>
      <c r="E113" s="6"/>
      <c r="F113" t="s">
        <v>13</v>
      </c>
    </row>
    <row r="114" spans="1:10" x14ac:dyDescent="0.3">
      <c r="E114" s="6"/>
    </row>
    <row r="115" spans="1:10" ht="27.6" customHeight="1" x14ac:dyDescent="0.3">
      <c r="A115" t="s">
        <v>66</v>
      </c>
      <c r="E115" s="6"/>
      <c r="F115" s="94" t="s">
        <v>67</v>
      </c>
      <c r="G115" s="81"/>
      <c r="H115" s="81"/>
      <c r="I115" s="81"/>
      <c r="J115" s="81"/>
    </row>
    <row r="116" spans="1:10" x14ac:dyDescent="0.3">
      <c r="E116" s="6"/>
      <c r="F116" s="3">
        <v>1235792</v>
      </c>
      <c r="G116" t="s">
        <v>68</v>
      </c>
    </row>
    <row r="117" spans="1:10" x14ac:dyDescent="0.3">
      <c r="E117" s="6"/>
    </row>
    <row r="118" spans="1:10" x14ac:dyDescent="0.3">
      <c r="E118" s="6"/>
      <c r="F118" t="s">
        <v>51</v>
      </c>
    </row>
    <row r="119" spans="1:10" x14ac:dyDescent="0.3">
      <c r="E119" s="6"/>
      <c r="F119" s="19">
        <f>(F116/365)/$B$43</f>
        <v>1297.2151367238753</v>
      </c>
      <c r="G119" t="s">
        <v>69</v>
      </c>
    </row>
    <row r="120" spans="1:10" x14ac:dyDescent="0.3">
      <c r="E120" s="6"/>
    </row>
    <row r="121" spans="1:10" x14ac:dyDescent="0.3">
      <c r="E121" s="6"/>
      <c r="F121" t="s">
        <v>50</v>
      </c>
      <c r="J121" s="6"/>
    </row>
    <row r="122" spans="1:10" x14ac:dyDescent="0.3">
      <c r="E122" s="6"/>
      <c r="F122" s="21">
        <v>0</v>
      </c>
      <c r="J122" s="6"/>
    </row>
    <row r="123" spans="1:10" x14ac:dyDescent="0.3">
      <c r="E123" s="6"/>
      <c r="F123" s="86" t="s">
        <v>52</v>
      </c>
      <c r="G123" s="86"/>
      <c r="H123" s="86"/>
      <c r="I123" s="86"/>
      <c r="J123" s="87"/>
    </row>
    <row r="124" spans="1:10" x14ac:dyDescent="0.3">
      <c r="E124" s="6"/>
      <c r="F124" s="86"/>
      <c r="G124" s="86"/>
      <c r="H124" s="86"/>
      <c r="I124" s="86"/>
      <c r="J124" s="87"/>
    </row>
    <row r="125" spans="1:10" x14ac:dyDescent="0.3">
      <c r="E125" s="6"/>
      <c r="F125" s="86"/>
      <c r="G125" s="86"/>
      <c r="H125" s="86"/>
      <c r="I125" s="86"/>
      <c r="J125" s="87"/>
    </row>
    <row r="126" spans="1:10" x14ac:dyDescent="0.3">
      <c r="E126" s="6"/>
      <c r="F126" s="86"/>
      <c r="G126" s="86"/>
      <c r="H126" s="86"/>
      <c r="I126" s="86"/>
      <c r="J126" s="87"/>
    </row>
    <row r="127" spans="1:10" x14ac:dyDescent="0.3">
      <c r="E127" s="6"/>
    </row>
    <row r="128" spans="1:10" x14ac:dyDescent="0.3">
      <c r="E128" s="6"/>
      <c r="F128" t="s">
        <v>57</v>
      </c>
      <c r="J128" s="6"/>
    </row>
    <row r="129" spans="5:10" x14ac:dyDescent="0.3">
      <c r="E129" s="6"/>
      <c r="F129" s="88" t="s">
        <v>58</v>
      </c>
      <c r="G129" s="89"/>
      <c r="H129" s="89"/>
      <c r="I129" s="90"/>
      <c r="J129" s="6"/>
    </row>
    <row r="130" spans="5:10" x14ac:dyDescent="0.3">
      <c r="E130" s="6"/>
      <c r="J130" s="6"/>
    </row>
    <row r="131" spans="5:10" x14ac:dyDescent="0.3">
      <c r="E131" s="6"/>
      <c r="F131" t="s">
        <v>59</v>
      </c>
      <c r="J131" s="6"/>
    </row>
    <row r="132" spans="5:10" x14ac:dyDescent="0.3">
      <c r="E132" s="6"/>
      <c r="F132" s="2">
        <v>70</v>
      </c>
      <c r="G132" t="s">
        <v>60</v>
      </c>
      <c r="J132" s="6"/>
    </row>
    <row r="133" spans="5:10" x14ac:dyDescent="0.3">
      <c r="E133" s="6"/>
      <c r="F133" s="23" t="s">
        <v>61</v>
      </c>
      <c r="J133" s="6"/>
    </row>
    <row r="134" spans="5:10" x14ac:dyDescent="0.3">
      <c r="E134" s="6"/>
      <c r="J134" s="6"/>
    </row>
    <row r="135" spans="5:10" x14ac:dyDescent="0.3">
      <c r="E135" s="6"/>
      <c r="F135" t="s">
        <v>62</v>
      </c>
      <c r="J135" s="6"/>
    </row>
    <row r="136" spans="5:10" ht="30.9" customHeight="1" x14ac:dyDescent="0.3">
      <c r="E136" s="6"/>
      <c r="F136" s="38">
        <f>(F119)*(F132/1000)</f>
        <v>90.805059570671276</v>
      </c>
      <c r="G136" s="84" t="s">
        <v>70</v>
      </c>
      <c r="H136" s="85"/>
      <c r="I136" s="85"/>
      <c r="J136" s="85"/>
    </row>
    <row r="137" spans="5:10" x14ac:dyDescent="0.3">
      <c r="E137" s="6"/>
    </row>
    <row r="138" spans="5:10" x14ac:dyDescent="0.3">
      <c r="E138" s="6"/>
      <c r="F138" s="81" t="s">
        <v>71</v>
      </c>
      <c r="G138" s="81"/>
      <c r="H138" s="81"/>
      <c r="I138" s="81"/>
      <c r="J138" s="81"/>
    </row>
    <row r="139" spans="5:10" x14ac:dyDescent="0.3">
      <c r="E139" s="6"/>
      <c r="F139" s="81"/>
      <c r="G139" s="81"/>
      <c r="H139" s="81"/>
      <c r="I139" s="81"/>
      <c r="J139" s="81"/>
    </row>
    <row r="140" spans="5:10" x14ac:dyDescent="0.3">
      <c r="E140" s="6"/>
      <c r="F140" s="28">
        <v>412</v>
      </c>
      <c r="G140" s="26" t="s">
        <v>72</v>
      </c>
    </row>
    <row r="141" spans="5:10" x14ac:dyDescent="0.3">
      <c r="E141" s="6"/>
    </row>
    <row r="142" spans="5:10" x14ac:dyDescent="0.3">
      <c r="E142" s="6"/>
      <c r="F142" t="s">
        <v>73</v>
      </c>
    </row>
    <row r="143" spans="5:10" x14ac:dyDescent="0.3">
      <c r="E143" s="6"/>
      <c r="F143" s="29">
        <f>(F140/7)/$B$43</f>
        <v>22.550629447181166</v>
      </c>
      <c r="G143" t="s">
        <v>74</v>
      </c>
    </row>
    <row r="144" spans="5:10" x14ac:dyDescent="0.3">
      <c r="E144" s="6"/>
    </row>
    <row r="145" spans="5:13" x14ac:dyDescent="0.3">
      <c r="E145" s="6"/>
      <c r="F145" s="81" t="s">
        <v>75</v>
      </c>
      <c r="G145" s="81"/>
      <c r="H145" s="81"/>
      <c r="I145" s="81"/>
      <c r="J145" s="81"/>
    </row>
    <row r="146" spans="5:13" x14ac:dyDescent="0.3">
      <c r="E146" s="6"/>
      <c r="F146" s="81"/>
      <c r="G146" s="81"/>
      <c r="H146" s="81"/>
      <c r="I146" s="81"/>
      <c r="J146" s="81"/>
    </row>
    <row r="147" spans="5:13" x14ac:dyDescent="0.3">
      <c r="E147" s="6"/>
      <c r="F147" s="28">
        <v>68.5</v>
      </c>
      <c r="G147" s="26" t="s">
        <v>72</v>
      </c>
    </row>
    <row r="148" spans="5:13" x14ac:dyDescent="0.3">
      <c r="E148" s="6"/>
    </row>
    <row r="149" spans="5:13" x14ac:dyDescent="0.3">
      <c r="E149" s="6"/>
      <c r="F149" t="s">
        <v>76</v>
      </c>
    </row>
    <row r="150" spans="5:13" x14ac:dyDescent="0.3">
      <c r="E150" s="6"/>
      <c r="F150" s="29">
        <f>(F147/7)/$B$43</f>
        <v>3.7493158182813353</v>
      </c>
      <c r="G150" t="s">
        <v>74</v>
      </c>
    </row>
    <row r="151" spans="5:13" x14ac:dyDescent="0.3">
      <c r="E151" s="6"/>
    </row>
    <row r="152" spans="5:13" x14ac:dyDescent="0.3">
      <c r="E152" s="6"/>
      <c r="F152" s="85" t="s">
        <v>77</v>
      </c>
      <c r="G152" s="85"/>
      <c r="H152" s="85"/>
      <c r="I152" s="85"/>
      <c r="J152" s="85"/>
    </row>
    <row r="153" spans="5:13" x14ac:dyDescent="0.3">
      <c r="E153" s="6"/>
      <c r="F153" s="85"/>
      <c r="G153" s="85"/>
      <c r="H153" s="85"/>
      <c r="I153" s="85"/>
      <c r="J153" s="85"/>
    </row>
    <row r="154" spans="5:13" x14ac:dyDescent="0.3">
      <c r="E154" s="6"/>
      <c r="F154" s="29">
        <f>F143-F150</f>
        <v>18.80131362889983</v>
      </c>
      <c r="G154" t="s">
        <v>74</v>
      </c>
    </row>
    <row r="155" spans="5:13" x14ac:dyDescent="0.3">
      <c r="E155" s="6"/>
      <c r="M155" s="36"/>
    </row>
    <row r="156" spans="5:13" x14ac:dyDescent="0.3">
      <c r="E156" s="6"/>
      <c r="F156" t="s">
        <v>78</v>
      </c>
    </row>
    <row r="157" spans="5:13" x14ac:dyDescent="0.3">
      <c r="E157" s="6"/>
      <c r="F157" s="89" t="s">
        <v>58</v>
      </c>
      <c r="G157" s="89"/>
      <c r="H157" s="89"/>
      <c r="I157" s="90"/>
    </row>
    <row r="158" spans="5:13" x14ac:dyDescent="0.3">
      <c r="E158" s="6"/>
    </row>
    <row r="159" spans="5:13" x14ac:dyDescent="0.3">
      <c r="E159" s="6"/>
      <c r="F159" t="s">
        <v>59</v>
      </c>
    </row>
    <row r="160" spans="5:13" x14ac:dyDescent="0.3">
      <c r="E160" s="6"/>
      <c r="F160" s="30">
        <v>70</v>
      </c>
      <c r="G160" t="s">
        <v>60</v>
      </c>
    </row>
    <row r="161" spans="1:10" x14ac:dyDescent="0.3">
      <c r="E161" s="6"/>
      <c r="F161" s="23" t="s">
        <v>61</v>
      </c>
    </row>
    <row r="162" spans="1:10" x14ac:dyDescent="0.3">
      <c r="E162" s="6"/>
    </row>
    <row r="163" spans="1:10" x14ac:dyDescent="0.3">
      <c r="E163" s="6"/>
      <c r="F163" t="s">
        <v>79</v>
      </c>
    </row>
    <row r="164" spans="1:10" x14ac:dyDescent="0.3">
      <c r="E164" s="6"/>
      <c r="F164" s="28">
        <v>293.08300000000003</v>
      </c>
      <c r="G164" t="s">
        <v>80</v>
      </c>
    </row>
    <row r="165" spans="1:10" x14ac:dyDescent="0.3">
      <c r="E165" s="6"/>
    </row>
    <row r="166" spans="1:10" x14ac:dyDescent="0.3">
      <c r="E166" s="6"/>
      <c r="F166" t="s">
        <v>81</v>
      </c>
    </row>
    <row r="167" spans="1:10" ht="29.4" customHeight="1" x14ac:dyDescent="0.3">
      <c r="E167" s="6"/>
      <c r="F167" s="38">
        <f>(F154*F164)*(F160/1000)</f>
        <v>385.72417816091951</v>
      </c>
      <c r="G167" s="94" t="s">
        <v>82</v>
      </c>
      <c r="H167" s="81"/>
      <c r="I167" s="81"/>
      <c r="J167" s="81"/>
    </row>
    <row r="168" spans="1:10" x14ac:dyDescent="0.3">
      <c r="E168" s="6"/>
    </row>
    <row r="169" spans="1:10" x14ac:dyDescent="0.3">
      <c r="A169" s="11" t="s">
        <v>83</v>
      </c>
      <c r="B169" s="12"/>
      <c r="C169" s="12"/>
      <c r="D169" s="12"/>
      <c r="E169" s="14"/>
      <c r="F169" s="12"/>
      <c r="G169" s="12"/>
      <c r="H169" s="12"/>
      <c r="I169" s="12"/>
      <c r="J169" s="12"/>
    </row>
    <row r="170" spans="1:10" x14ac:dyDescent="0.3">
      <c r="E170" s="6"/>
    </row>
    <row r="171" spans="1:10" x14ac:dyDescent="0.3">
      <c r="A171" t="s">
        <v>12</v>
      </c>
      <c r="E171" s="6"/>
      <c r="F171" t="s">
        <v>13</v>
      </c>
    </row>
    <row r="172" spans="1:10" x14ac:dyDescent="0.3">
      <c r="E172" s="6"/>
    </row>
    <row r="173" spans="1:10" x14ac:dyDescent="0.3">
      <c r="A173" t="s">
        <v>66</v>
      </c>
      <c r="E173" s="6"/>
      <c r="F173" s="94" t="s">
        <v>84</v>
      </c>
      <c r="G173" s="81"/>
      <c r="H173" s="81"/>
      <c r="I173" s="81"/>
      <c r="J173" s="81"/>
    </row>
    <row r="174" spans="1:10" x14ac:dyDescent="0.3">
      <c r="E174" s="6"/>
      <c r="F174" s="3">
        <v>348000</v>
      </c>
      <c r="G174" t="s">
        <v>68</v>
      </c>
    </row>
    <row r="175" spans="1:10" x14ac:dyDescent="0.3">
      <c r="E175" s="6"/>
    </row>
    <row r="176" spans="1:10" x14ac:dyDescent="0.3">
      <c r="E176" s="6"/>
      <c r="F176" t="s">
        <v>51</v>
      </c>
    </row>
    <row r="177" spans="5:10" x14ac:dyDescent="0.3">
      <c r="E177" s="6"/>
      <c r="F177" s="29">
        <f>(F174/365)/$B$43</f>
        <v>365.29680365296798</v>
      </c>
      <c r="G177" t="s">
        <v>69</v>
      </c>
    </row>
    <row r="178" spans="5:10" x14ac:dyDescent="0.3">
      <c r="E178" s="6"/>
    </row>
    <row r="179" spans="5:10" x14ac:dyDescent="0.3">
      <c r="E179" s="6"/>
      <c r="F179" t="s">
        <v>50</v>
      </c>
      <c r="J179" s="6"/>
    </row>
    <row r="180" spans="5:10" x14ac:dyDescent="0.3">
      <c r="E180" s="6"/>
      <c r="F180" s="31">
        <v>0</v>
      </c>
      <c r="J180" s="6"/>
    </row>
    <row r="181" spans="5:10" x14ac:dyDescent="0.3">
      <c r="E181" s="6"/>
      <c r="F181" s="86" t="s">
        <v>52</v>
      </c>
      <c r="G181" s="86"/>
      <c r="H181" s="86"/>
      <c r="I181" s="86"/>
      <c r="J181" s="87"/>
    </row>
    <row r="182" spans="5:10" x14ac:dyDescent="0.3">
      <c r="E182" s="6"/>
      <c r="F182" s="86"/>
      <c r="G182" s="86"/>
      <c r="H182" s="86"/>
      <c r="I182" s="86"/>
      <c r="J182" s="87"/>
    </row>
    <row r="183" spans="5:10" x14ac:dyDescent="0.3">
      <c r="E183" s="6"/>
      <c r="F183" s="86"/>
      <c r="G183" s="86"/>
      <c r="H183" s="86"/>
      <c r="I183" s="86"/>
      <c r="J183" s="87"/>
    </row>
    <row r="184" spans="5:10" x14ac:dyDescent="0.3">
      <c r="E184" s="6"/>
      <c r="F184" s="86"/>
      <c r="G184" s="86"/>
      <c r="H184" s="86"/>
      <c r="I184" s="86"/>
      <c r="J184" s="87"/>
    </row>
    <row r="185" spans="5:10" x14ac:dyDescent="0.3">
      <c r="E185" s="6"/>
    </row>
    <row r="186" spans="5:10" x14ac:dyDescent="0.3">
      <c r="E186" s="6"/>
      <c r="F186" t="s">
        <v>57</v>
      </c>
      <c r="J186" s="6"/>
    </row>
    <row r="187" spans="5:10" x14ac:dyDescent="0.3">
      <c r="E187" s="6"/>
      <c r="F187" s="89" t="s">
        <v>58</v>
      </c>
      <c r="G187" s="89"/>
      <c r="H187" s="89"/>
      <c r="I187" s="90"/>
      <c r="J187" s="6"/>
    </row>
    <row r="188" spans="5:10" x14ac:dyDescent="0.3">
      <c r="E188" s="6"/>
      <c r="J188" s="6"/>
    </row>
    <row r="189" spans="5:10" x14ac:dyDescent="0.3">
      <c r="E189" s="6"/>
      <c r="F189" t="s">
        <v>59</v>
      </c>
      <c r="J189" s="6"/>
    </row>
    <row r="190" spans="5:10" x14ac:dyDescent="0.3">
      <c r="E190" s="6"/>
      <c r="F190" s="30">
        <v>70</v>
      </c>
      <c r="G190" t="s">
        <v>60</v>
      </c>
      <c r="J190" s="6"/>
    </row>
    <row r="191" spans="5:10" x14ac:dyDescent="0.3">
      <c r="E191" s="6"/>
      <c r="F191" s="23" t="s">
        <v>61</v>
      </c>
      <c r="J191" s="6"/>
    </row>
    <row r="192" spans="5:10" x14ac:dyDescent="0.3">
      <c r="E192" s="6"/>
      <c r="J192" s="6"/>
    </row>
    <row r="193" spans="1:10" x14ac:dyDescent="0.3">
      <c r="E193" s="6"/>
      <c r="F193" t="s">
        <v>62</v>
      </c>
      <c r="J193" s="6"/>
    </row>
    <row r="194" spans="1:10" x14ac:dyDescent="0.3">
      <c r="E194" s="6"/>
      <c r="F194" s="27">
        <f>(F177)*(F190/1000)</f>
        <v>25.570776255707759</v>
      </c>
      <c r="G194" t="s">
        <v>85</v>
      </c>
    </row>
    <row r="195" spans="1:10" x14ac:dyDescent="0.3">
      <c r="E195" s="6"/>
    </row>
    <row r="196" spans="1:10" x14ac:dyDescent="0.3">
      <c r="A196" s="11" t="s">
        <v>86</v>
      </c>
      <c r="B196" s="12"/>
      <c r="C196" s="12"/>
      <c r="D196" s="12"/>
      <c r="E196" s="14"/>
      <c r="F196" s="12"/>
      <c r="G196" s="12"/>
      <c r="H196" s="12"/>
      <c r="I196" s="12"/>
      <c r="J196" s="12"/>
    </row>
    <row r="197" spans="1:10" x14ac:dyDescent="0.3">
      <c r="E197" s="6"/>
    </row>
    <row r="198" spans="1:10" x14ac:dyDescent="0.3">
      <c r="A198" t="s">
        <v>12</v>
      </c>
      <c r="E198" s="6"/>
      <c r="F198" t="s">
        <v>13</v>
      </c>
    </row>
    <row r="199" spans="1:10" x14ac:dyDescent="0.3">
      <c r="E199" s="6"/>
    </row>
    <row r="200" spans="1:10" ht="14.4" customHeight="1" x14ac:dyDescent="0.3">
      <c r="A200" s="81" t="s">
        <v>87</v>
      </c>
      <c r="B200" s="81"/>
      <c r="C200" s="81"/>
      <c r="D200" s="81"/>
      <c r="E200" s="6"/>
      <c r="F200" t="s">
        <v>88</v>
      </c>
    </row>
    <row r="201" spans="1:10" x14ac:dyDescent="0.3">
      <c r="A201" s="81"/>
      <c r="B201" s="81"/>
      <c r="C201" s="81"/>
      <c r="D201" s="81"/>
      <c r="E201" s="6"/>
      <c r="F201" s="81" t="s">
        <v>89</v>
      </c>
      <c r="G201" s="81"/>
      <c r="H201" s="81"/>
      <c r="I201" s="81"/>
      <c r="J201" s="81"/>
    </row>
    <row r="202" spans="1:10" x14ac:dyDescent="0.3">
      <c r="A202" s="81"/>
      <c r="B202" s="81"/>
      <c r="C202" s="81"/>
      <c r="D202" s="81"/>
      <c r="E202" s="6"/>
      <c r="F202" s="81"/>
      <c r="G202" s="81"/>
      <c r="H202" s="81"/>
      <c r="I202" s="81"/>
      <c r="J202" s="81"/>
    </row>
    <row r="203" spans="1:10" x14ac:dyDescent="0.3">
      <c r="E203" s="6"/>
    </row>
    <row r="204" spans="1:10" x14ac:dyDescent="0.3">
      <c r="E204" s="6"/>
      <c r="F204" t="s">
        <v>90</v>
      </c>
    </row>
    <row r="205" spans="1:10" x14ac:dyDescent="0.3">
      <c r="E205" s="6"/>
      <c r="F205" s="28">
        <v>100</v>
      </c>
      <c r="G205" t="s">
        <v>91</v>
      </c>
    </row>
    <row r="206" spans="1:10" x14ac:dyDescent="0.3">
      <c r="E206" s="6"/>
      <c r="F206" s="28">
        <v>100</v>
      </c>
      <c r="G206" t="s">
        <v>92</v>
      </c>
    </row>
    <row r="207" spans="1:10" x14ac:dyDescent="0.3">
      <c r="E207" s="6"/>
    </row>
    <row r="208" spans="1:10" x14ac:dyDescent="0.3">
      <c r="E208" s="6"/>
      <c r="F208" t="s">
        <v>93</v>
      </c>
    </row>
    <row r="209" spans="5:7" x14ac:dyDescent="0.3">
      <c r="E209" s="6"/>
    </row>
    <row r="210" spans="5:7" x14ac:dyDescent="0.3">
      <c r="E210" s="6"/>
      <c r="F210" s="28">
        <v>2100</v>
      </c>
      <c r="G210" t="s">
        <v>94</v>
      </c>
    </row>
    <row r="211" spans="5:7" x14ac:dyDescent="0.3">
      <c r="E211" s="6"/>
      <c r="F211" s="30">
        <v>12.7</v>
      </c>
      <c r="G211" t="s">
        <v>95</v>
      </c>
    </row>
    <row r="212" spans="5:7" x14ac:dyDescent="0.3">
      <c r="E212" s="6"/>
      <c r="F212" s="32">
        <f>F210*F211</f>
        <v>26670</v>
      </c>
      <c r="G212" t="s">
        <v>96</v>
      </c>
    </row>
    <row r="213" spans="5:7" x14ac:dyDescent="0.3">
      <c r="E213" s="6"/>
      <c r="F213" s="33">
        <f>(F212/2000)/($B$43*365)</f>
        <v>1.3997795622736576E-2</v>
      </c>
      <c r="G213" t="s">
        <v>97</v>
      </c>
    </row>
    <row r="214" spans="5:7" x14ac:dyDescent="0.3">
      <c r="E214" s="6"/>
    </row>
    <row r="215" spans="5:7" x14ac:dyDescent="0.3">
      <c r="E215" s="6"/>
      <c r="F215" s="28">
        <v>1200</v>
      </c>
      <c r="G215" t="s">
        <v>98</v>
      </c>
    </row>
    <row r="216" spans="5:7" x14ac:dyDescent="0.3">
      <c r="E216" s="6"/>
      <c r="F216" s="30">
        <v>15</v>
      </c>
      <c r="G216" t="s">
        <v>99</v>
      </c>
    </row>
    <row r="217" spans="5:7" x14ac:dyDescent="0.3">
      <c r="E217" s="6"/>
      <c r="F217" s="32">
        <f>F215*F216</f>
        <v>18000</v>
      </c>
      <c r="G217" t="s">
        <v>96</v>
      </c>
    </row>
    <row r="218" spans="5:7" x14ac:dyDescent="0.3">
      <c r="E218" s="6"/>
      <c r="F218" s="33">
        <f>(F217/2000)/($B$43*365)</f>
        <v>9.4473311289560696E-3</v>
      </c>
      <c r="G218" t="s">
        <v>97</v>
      </c>
    </row>
    <row r="219" spans="5:7" x14ac:dyDescent="0.3">
      <c r="E219" s="6"/>
    </row>
    <row r="220" spans="5:7" x14ac:dyDescent="0.3">
      <c r="E220" s="6"/>
      <c r="F220" t="s">
        <v>86</v>
      </c>
    </row>
    <row r="221" spans="5:7" x14ac:dyDescent="0.3">
      <c r="E221" s="6"/>
    </row>
    <row r="222" spans="5:7" x14ac:dyDescent="0.3">
      <c r="E222" s="6"/>
      <c r="F222" s="34">
        <f>F205*F213</f>
        <v>1.3997795622736575</v>
      </c>
      <c r="G222" t="s">
        <v>100</v>
      </c>
    </row>
    <row r="223" spans="5:7" x14ac:dyDescent="0.3">
      <c r="E223" s="6"/>
      <c r="F223" s="34">
        <f>F206*F218</f>
        <v>0.94473311289560691</v>
      </c>
      <c r="G223" t="s">
        <v>101</v>
      </c>
    </row>
    <row r="224" spans="5:7" x14ac:dyDescent="0.3">
      <c r="E224" s="6"/>
    </row>
    <row r="225" spans="1:10" x14ac:dyDescent="0.3">
      <c r="E225" s="6"/>
      <c r="F225" s="30">
        <v>162</v>
      </c>
      <c r="G225" t="s">
        <v>102</v>
      </c>
    </row>
    <row r="226" spans="1:10" x14ac:dyDescent="0.3">
      <c r="E226" s="6"/>
      <c r="F226" s="33">
        <f>F225*(1/453.6)</f>
        <v>0.3571428571428571</v>
      </c>
      <c r="G226" t="s">
        <v>103</v>
      </c>
    </row>
    <row r="227" spans="1:10" x14ac:dyDescent="0.3">
      <c r="E227" s="6"/>
      <c r="F227" s="86" t="s">
        <v>104</v>
      </c>
      <c r="G227" s="86"/>
      <c r="H227" s="86"/>
      <c r="I227" s="86"/>
      <c r="J227" s="86"/>
    </row>
    <row r="228" spans="1:10" x14ac:dyDescent="0.3">
      <c r="E228" s="6"/>
      <c r="F228" s="86"/>
      <c r="G228" s="86"/>
      <c r="H228" s="86"/>
      <c r="I228" s="86"/>
      <c r="J228" s="86"/>
    </row>
    <row r="229" spans="1:10" x14ac:dyDescent="0.3">
      <c r="E229" s="6"/>
      <c r="F229" s="86"/>
      <c r="G229" s="86"/>
      <c r="H229" s="86"/>
      <c r="I229" s="86"/>
      <c r="J229" s="86"/>
    </row>
    <row r="230" spans="1:10" x14ac:dyDescent="0.3">
      <c r="E230" s="6"/>
      <c r="F230" s="86"/>
      <c r="G230" s="86"/>
      <c r="H230" s="86"/>
      <c r="I230" s="86"/>
      <c r="J230" s="86"/>
    </row>
    <row r="231" spans="1:10" x14ac:dyDescent="0.3">
      <c r="E231" s="6"/>
      <c r="F231" s="86"/>
      <c r="G231" s="86"/>
      <c r="H231" s="86"/>
      <c r="I231" s="86"/>
      <c r="J231" s="86"/>
    </row>
    <row r="232" spans="1:10" x14ac:dyDescent="0.3">
      <c r="E232" s="6"/>
      <c r="F232" s="86"/>
      <c r="G232" s="86"/>
      <c r="H232" s="86"/>
      <c r="I232" s="86"/>
      <c r="J232" s="86"/>
    </row>
    <row r="233" spans="1:10" x14ac:dyDescent="0.3">
      <c r="E233" s="6"/>
      <c r="F233" t="s">
        <v>105</v>
      </c>
    </row>
    <row r="234" spans="1:10" x14ac:dyDescent="0.3">
      <c r="E234" s="6"/>
      <c r="F234" s="27">
        <f>(F222*F226)+(F223*F226)</f>
        <v>0.83732595541759425</v>
      </c>
      <c r="G234" t="s">
        <v>106</v>
      </c>
    </row>
    <row r="235" spans="1:10" x14ac:dyDescent="0.3">
      <c r="E235" s="6"/>
    </row>
    <row r="236" spans="1:10" x14ac:dyDescent="0.3">
      <c r="A236" s="11" t="s">
        <v>107</v>
      </c>
      <c r="B236" s="12"/>
      <c r="C236" s="12"/>
      <c r="D236" s="12"/>
      <c r="E236" s="14"/>
      <c r="F236" s="12"/>
      <c r="G236" s="12"/>
      <c r="H236" s="12"/>
      <c r="I236" s="12"/>
      <c r="J236" s="12"/>
    </row>
    <row r="237" spans="1:10" x14ac:dyDescent="0.3">
      <c r="E237" s="6"/>
    </row>
    <row r="238" spans="1:10" x14ac:dyDescent="0.3">
      <c r="A238" t="s">
        <v>12</v>
      </c>
      <c r="E238" s="6"/>
      <c r="F238" t="s">
        <v>13</v>
      </c>
    </row>
    <row r="239" spans="1:10" x14ac:dyDescent="0.3">
      <c r="E239" s="6"/>
    </row>
    <row r="240" spans="1:10" x14ac:dyDescent="0.3">
      <c r="A240" t="s">
        <v>108</v>
      </c>
      <c r="E240" s="6"/>
      <c r="F240" s="85" t="s">
        <v>109</v>
      </c>
      <c r="G240" s="85"/>
      <c r="H240" s="85"/>
      <c r="I240" s="85"/>
      <c r="J240" s="85"/>
    </row>
    <row r="241" spans="1:10" x14ac:dyDescent="0.3">
      <c r="A241" s="3">
        <v>135</v>
      </c>
      <c r="B241" t="s">
        <v>110</v>
      </c>
      <c r="E241" s="6"/>
      <c r="F241" s="85"/>
      <c r="G241" s="85"/>
      <c r="H241" s="85"/>
      <c r="I241" s="85"/>
      <c r="J241" s="85"/>
    </row>
    <row r="242" spans="1:10" x14ac:dyDescent="0.3">
      <c r="E242" s="6"/>
      <c r="F242" s="85"/>
      <c r="G242" s="85"/>
      <c r="H242" s="85"/>
      <c r="I242" s="85"/>
      <c r="J242" s="85"/>
    </row>
    <row r="243" spans="1:10" x14ac:dyDescent="0.3">
      <c r="A243" t="s">
        <v>111</v>
      </c>
      <c r="E243" s="6"/>
    </row>
    <row r="244" spans="1:10" x14ac:dyDescent="0.3">
      <c r="A244" s="35">
        <v>0.15</v>
      </c>
      <c r="E244" s="6"/>
    </row>
    <row r="245" spans="1:10" x14ac:dyDescent="0.3">
      <c r="E245" s="6"/>
    </row>
    <row r="246" spans="1:10" x14ac:dyDescent="0.3">
      <c r="A246" t="s">
        <v>112</v>
      </c>
      <c r="E246" s="6"/>
    </row>
    <row r="247" spans="1:10" x14ac:dyDescent="0.3">
      <c r="A247" s="17">
        <f>1/A244</f>
        <v>6.666666666666667</v>
      </c>
      <c r="B247" t="s">
        <v>113</v>
      </c>
      <c r="E247" s="6"/>
    </row>
    <row r="248" spans="1:10" x14ac:dyDescent="0.3">
      <c r="E248" s="6"/>
    </row>
    <row r="249" spans="1:10" x14ac:dyDescent="0.3">
      <c r="A249" t="s">
        <v>86</v>
      </c>
      <c r="E249" s="6"/>
    </row>
    <row r="250" spans="1:10" x14ac:dyDescent="0.3">
      <c r="E250" s="6"/>
    </row>
    <row r="251" spans="1:10" x14ac:dyDescent="0.3">
      <c r="A251" s="29">
        <f>A247*A241</f>
        <v>900</v>
      </c>
      <c r="B251" t="s">
        <v>114</v>
      </c>
      <c r="E251" s="6"/>
    </row>
    <row r="252" spans="1:10" x14ac:dyDescent="0.3">
      <c r="E252" s="6"/>
    </row>
    <row r="253" spans="1:10" x14ac:dyDescent="0.3">
      <c r="A253" s="30">
        <v>162</v>
      </c>
      <c r="B253" t="s">
        <v>102</v>
      </c>
      <c r="E253" s="6"/>
    </row>
    <row r="254" spans="1:10" x14ac:dyDescent="0.3">
      <c r="A254" s="33">
        <f>A253*(1/453.6)</f>
        <v>0.3571428571428571</v>
      </c>
      <c r="B254" t="s">
        <v>103</v>
      </c>
      <c r="E254" s="6"/>
    </row>
    <row r="255" spans="1:10" x14ac:dyDescent="0.3">
      <c r="A255" s="86" t="s">
        <v>104</v>
      </c>
      <c r="B255" s="86"/>
      <c r="C255" s="86"/>
      <c r="D255" s="86"/>
      <c r="E255" s="87"/>
    </row>
    <row r="256" spans="1:10" x14ac:dyDescent="0.3">
      <c r="A256" s="86"/>
      <c r="B256" s="86"/>
      <c r="C256" s="86"/>
      <c r="D256" s="86"/>
      <c r="E256" s="87"/>
    </row>
    <row r="257" spans="1:10" x14ac:dyDescent="0.3">
      <c r="A257" s="86"/>
      <c r="B257" s="86"/>
      <c r="C257" s="86"/>
      <c r="D257" s="86"/>
      <c r="E257" s="87"/>
    </row>
    <row r="258" spans="1:10" x14ac:dyDescent="0.3">
      <c r="A258" s="86"/>
      <c r="B258" s="86"/>
      <c r="C258" s="86"/>
      <c r="D258" s="86"/>
      <c r="E258" s="87"/>
    </row>
    <row r="259" spans="1:10" x14ac:dyDescent="0.3">
      <c r="A259" s="86"/>
      <c r="B259" s="86"/>
      <c r="C259" s="86"/>
      <c r="D259" s="86"/>
      <c r="E259" s="87"/>
    </row>
    <row r="260" spans="1:10" x14ac:dyDescent="0.3">
      <c r="A260" s="86"/>
      <c r="B260" s="86"/>
      <c r="C260" s="86"/>
      <c r="D260" s="86"/>
      <c r="E260" s="87"/>
    </row>
    <row r="261" spans="1:10" x14ac:dyDescent="0.3">
      <c r="A261" t="s">
        <v>115</v>
      </c>
      <c r="E261" s="6"/>
    </row>
    <row r="262" spans="1:10" ht="30.6" customHeight="1" x14ac:dyDescent="0.3">
      <c r="A262" s="38">
        <f>A254*A251</f>
        <v>321.42857142857139</v>
      </c>
      <c r="B262" s="84" t="s">
        <v>116</v>
      </c>
      <c r="C262" s="85"/>
      <c r="D262" s="85"/>
      <c r="E262" s="95"/>
    </row>
    <row r="263" spans="1:10" x14ac:dyDescent="0.3">
      <c r="E263" s="6"/>
    </row>
    <row r="264" spans="1:10" x14ac:dyDescent="0.3">
      <c r="A264" s="11" t="s">
        <v>117</v>
      </c>
      <c r="B264" s="12"/>
      <c r="C264" s="12"/>
      <c r="D264" s="12"/>
      <c r="E264" s="14"/>
      <c r="F264" s="12"/>
      <c r="G264" s="12"/>
      <c r="H264" s="12"/>
      <c r="I264" s="12"/>
      <c r="J264" s="12"/>
    </row>
    <row r="265" spans="1:10" x14ac:dyDescent="0.3">
      <c r="E265" s="6"/>
    </row>
    <row r="266" spans="1:10" ht="30" customHeight="1" x14ac:dyDescent="0.3">
      <c r="A266" s="27">
        <f>A76</f>
        <v>8463.713563218389</v>
      </c>
      <c r="B266" s="97" t="str">
        <f>B76</f>
        <v>lbs CO2e/dry ton for onsite storage</v>
      </c>
      <c r="C266" s="97"/>
      <c r="D266" s="97"/>
      <c r="E266" s="98"/>
      <c r="F266" s="27">
        <f>F109</f>
        <v>92.60794625518291</v>
      </c>
      <c r="G266" s="96" t="str">
        <f>G109</f>
        <v>lbs CO2e/dry ton for dewatering/thickening electricity</v>
      </c>
      <c r="H266" s="96"/>
      <c r="I266" s="96"/>
      <c r="J266" s="96"/>
    </row>
    <row r="267" spans="1:10" ht="27.9" customHeight="1" x14ac:dyDescent="0.3">
      <c r="A267" s="27">
        <f>A102</f>
        <v>2.6495000000000002</v>
      </c>
      <c r="B267" s="96" t="str">
        <f>B102</f>
        <v>lbs CO2e/dry ton for dewatering electricity</v>
      </c>
      <c r="C267" s="96"/>
      <c r="D267" s="96"/>
      <c r="E267" s="99"/>
      <c r="F267" s="27">
        <f>F136</f>
        <v>90.805059570671276</v>
      </c>
      <c r="G267" s="96" t="str">
        <f>G136</f>
        <v>lbs CO2e/dry ton for biodrying equipment and odor control</v>
      </c>
      <c r="H267" s="96"/>
      <c r="I267" s="96"/>
      <c r="J267" s="96"/>
    </row>
    <row r="268" spans="1:10" ht="27.6" customHeight="1" thickBot="1" x14ac:dyDescent="0.35">
      <c r="A268" s="39">
        <f>A262</f>
        <v>321.42857142857139</v>
      </c>
      <c r="B268" s="100" t="str">
        <f>B262</f>
        <v>lbs CO2e/dry ton for offsite biosolids hauling</v>
      </c>
      <c r="C268" s="100"/>
      <c r="D268" s="100"/>
      <c r="E268" s="101"/>
      <c r="F268" s="27">
        <f>F167</f>
        <v>385.72417816091951</v>
      </c>
      <c r="G268" s="96" t="str">
        <f>G167</f>
        <v>lbs CO2e/dry ton for biodrying thermal energy</v>
      </c>
      <c r="H268" s="96"/>
      <c r="I268" s="96"/>
      <c r="J268" s="96"/>
    </row>
    <row r="269" spans="1:10" ht="15" thickBot="1" x14ac:dyDescent="0.35">
      <c r="A269" s="40">
        <f>SUM(A266:A268)</f>
        <v>8787.7916346469592</v>
      </c>
      <c r="B269" s="41" t="s">
        <v>118</v>
      </c>
      <c r="C269" s="41"/>
      <c r="D269" s="41"/>
      <c r="E269" s="42"/>
      <c r="F269" s="27">
        <f>F194</f>
        <v>25.570776255707759</v>
      </c>
      <c r="G269" s="96" t="str">
        <f>G194</f>
        <v>lbs CO2e/dry ton for pyrolysis electricity</v>
      </c>
      <c r="H269" s="96"/>
      <c r="I269" s="96"/>
      <c r="J269" s="96"/>
    </row>
    <row r="270" spans="1:10" ht="15" thickBot="1" x14ac:dyDescent="0.35">
      <c r="A270" s="40">
        <f>A269/2204.6</f>
        <v>3.986116136554005</v>
      </c>
      <c r="B270" s="41" t="s">
        <v>119</v>
      </c>
      <c r="C270" s="41"/>
      <c r="D270" s="41"/>
      <c r="E270" s="42"/>
      <c r="F270" s="27">
        <f>F234</f>
        <v>0.83732595541759425</v>
      </c>
      <c r="G270" s="96" t="str">
        <f>G234</f>
        <v>lbs CO2e/dry ton for chemical delivery</v>
      </c>
      <c r="H270" s="96"/>
      <c r="I270" s="96"/>
      <c r="J270" s="96"/>
    </row>
    <row r="271" spans="1:10" ht="15" thickBot="1" x14ac:dyDescent="0.35">
      <c r="E271" s="43"/>
      <c r="F271" s="40">
        <f>SUM(F266:F270)</f>
        <v>595.54528619789903</v>
      </c>
      <c r="G271" s="41" t="s">
        <v>118</v>
      </c>
      <c r="H271" s="41"/>
      <c r="I271" s="41"/>
      <c r="J271" s="42"/>
    </row>
    <row r="272" spans="1:10" ht="15" thickBot="1" x14ac:dyDescent="0.35">
      <c r="E272" s="6"/>
      <c r="F272" s="40">
        <f>F271/2204.6</f>
        <v>0.27013756971690966</v>
      </c>
      <c r="G272" s="41" t="s">
        <v>119</v>
      </c>
      <c r="H272" s="41"/>
      <c r="I272" s="41"/>
      <c r="J272" s="42"/>
    </row>
    <row r="273" spans="5:5" x14ac:dyDescent="0.3">
      <c r="E273" s="6"/>
    </row>
  </sheetData>
  <mergeCells count="40">
    <mergeCell ref="G269:J269"/>
    <mergeCell ref="G270:J270"/>
    <mergeCell ref="B266:E266"/>
    <mergeCell ref="B267:E267"/>
    <mergeCell ref="B268:E268"/>
    <mergeCell ref="B262:E262"/>
    <mergeCell ref="G266:J266"/>
    <mergeCell ref="G267:J267"/>
    <mergeCell ref="G268:J268"/>
    <mergeCell ref="F227:J232"/>
    <mergeCell ref="F240:J242"/>
    <mergeCell ref="A255:E260"/>
    <mergeCell ref="G109:J109"/>
    <mergeCell ref="G136:J136"/>
    <mergeCell ref="G167:J167"/>
    <mergeCell ref="F157:I157"/>
    <mergeCell ref="F115:J115"/>
    <mergeCell ref="F123:J126"/>
    <mergeCell ref="F129:I129"/>
    <mergeCell ref="F138:J139"/>
    <mergeCell ref="F145:J146"/>
    <mergeCell ref="F152:J153"/>
    <mergeCell ref="F173:J173"/>
    <mergeCell ref="F181:J184"/>
    <mergeCell ref="F187:I187"/>
    <mergeCell ref="A200:D202"/>
    <mergeCell ref="F201:J202"/>
    <mergeCell ref="A58:D59"/>
    <mergeCell ref="A84:D85"/>
    <mergeCell ref="A89:E92"/>
    <mergeCell ref="A95:D95"/>
    <mergeCell ref="F102:I102"/>
    <mergeCell ref="F96:J99"/>
    <mergeCell ref="B102:E102"/>
    <mergeCell ref="A13:I14"/>
    <mergeCell ref="A16:I21"/>
    <mergeCell ref="A23:I28"/>
    <mergeCell ref="A49:E49"/>
    <mergeCell ref="A33:E33"/>
    <mergeCell ref="F49:J51"/>
  </mergeCells>
  <hyperlinks>
    <hyperlink ref="A99" r:id="rId1" display="https://sonomacleanpower.org/power-sources" xr:uid="{9F486AEC-04F5-40C6-AC45-0903B66D6099}"/>
    <hyperlink ref="F106" r:id="rId2" display="https://sonomacleanpower.org/power-sources" xr:uid="{C8167835-B711-48EA-B350-97A5C0F1A666}"/>
    <hyperlink ref="F133" r:id="rId3" display="https://sonomacleanpower.org/power-sources" xr:uid="{ED2D4873-AE7C-4D9E-948E-75AFBE7AE7C8}"/>
    <hyperlink ref="F161" r:id="rId4" display="https://sonomacleanpower.org/power-sources" xr:uid="{665F96ED-C987-4377-B39E-11F543EADF4D}"/>
    <hyperlink ref="F191" r:id="rId5" display="https://sonomacleanpower.org/power-sources" xr:uid="{2C8F1B7A-12ED-441F-9861-D4CF29C45BAE}"/>
  </hyperlinks>
  <pageMargins left="0.7" right="0.7" top="0.75" bottom="0.75" header="0.3" footer="0.3"/>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8CF06-9C16-4A5F-91F5-250CB012B844}">
  <dimension ref="A1:J143"/>
  <sheetViews>
    <sheetView topLeftCell="A82" zoomScaleNormal="100" workbookViewId="0">
      <selection activeCell="J57" sqref="J57"/>
    </sheetView>
  </sheetViews>
  <sheetFormatPr defaultRowHeight="14.4" x14ac:dyDescent="0.3"/>
  <cols>
    <col min="10" max="10" width="11.109375" customWidth="1"/>
  </cols>
  <sheetData>
    <row r="1" spans="1:10" ht="21" x14ac:dyDescent="0.4">
      <c r="A1" s="8" t="s">
        <v>0</v>
      </c>
      <c r="B1" s="9"/>
      <c r="C1" s="9"/>
      <c r="D1" s="9"/>
      <c r="E1" s="9"/>
      <c r="F1" s="9"/>
      <c r="G1" s="9"/>
      <c r="H1" s="9"/>
      <c r="I1" s="9"/>
      <c r="J1" s="9"/>
    </row>
    <row r="2" spans="1:10" ht="15.6" x14ac:dyDescent="0.3">
      <c r="A2" s="10" t="s">
        <v>120</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121</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122</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29" spans="1:10" x14ac:dyDescent="0.3">
      <c r="A29" s="11" t="s">
        <v>11</v>
      </c>
      <c r="B29" s="12"/>
      <c r="C29" s="12"/>
      <c r="D29" s="12"/>
      <c r="E29" s="14"/>
      <c r="F29" s="12"/>
      <c r="G29" s="12"/>
      <c r="H29" s="12"/>
      <c r="I29" s="12"/>
      <c r="J29" s="12"/>
    </row>
    <row r="30" spans="1:10" x14ac:dyDescent="0.3">
      <c r="E30" s="6"/>
    </row>
    <row r="31" spans="1:10" x14ac:dyDescent="0.3">
      <c r="A31" t="s">
        <v>12</v>
      </c>
      <c r="E31" s="6"/>
      <c r="F31" t="s">
        <v>13</v>
      </c>
    </row>
    <row r="32" spans="1:10" x14ac:dyDescent="0.3">
      <c r="A32" s="83" t="s">
        <v>123</v>
      </c>
      <c r="B32" s="83"/>
      <c r="C32" s="83"/>
      <c r="D32" s="83"/>
      <c r="E32" s="83"/>
      <c r="F32" t="s">
        <v>15</v>
      </c>
    </row>
    <row r="33" spans="1:10" x14ac:dyDescent="0.3">
      <c r="E33" s="6"/>
    </row>
    <row r="34" spans="1:10" x14ac:dyDescent="0.3">
      <c r="A34" s="11" t="s">
        <v>16</v>
      </c>
      <c r="B34" s="12"/>
      <c r="C34" s="12"/>
      <c r="D34" s="12"/>
      <c r="E34" s="14"/>
      <c r="F34" s="12"/>
      <c r="G34" s="12"/>
      <c r="H34" s="12"/>
      <c r="I34" s="12"/>
      <c r="J34" s="12"/>
    </row>
    <row r="35" spans="1:10" x14ac:dyDescent="0.3">
      <c r="E35" s="6"/>
    </row>
    <row r="36" spans="1:10" x14ac:dyDescent="0.3">
      <c r="A36" t="s">
        <v>12</v>
      </c>
      <c r="E36" s="6"/>
      <c r="F36" t="s">
        <v>13</v>
      </c>
    </row>
    <row r="37" spans="1:10" x14ac:dyDescent="0.3">
      <c r="A37">
        <v>2025</v>
      </c>
      <c r="B37" s="3">
        <v>0.99</v>
      </c>
      <c r="C37" t="s">
        <v>17</v>
      </c>
      <c r="E37" s="6"/>
      <c r="F37" t="s">
        <v>15</v>
      </c>
    </row>
    <row r="38" spans="1:10" x14ac:dyDescent="0.3">
      <c r="A38">
        <v>2030</v>
      </c>
      <c r="B38" s="3">
        <v>0.99</v>
      </c>
      <c r="C38" t="s">
        <v>17</v>
      </c>
      <c r="E38" s="6"/>
    </row>
    <row r="39" spans="1:10" x14ac:dyDescent="0.3">
      <c r="A39">
        <v>2035</v>
      </c>
      <c r="B39" s="3">
        <v>0.99</v>
      </c>
      <c r="C39" t="s">
        <v>17</v>
      </c>
      <c r="E39" s="6"/>
    </row>
    <row r="40" spans="1:10" x14ac:dyDescent="0.3">
      <c r="A40">
        <v>2040</v>
      </c>
      <c r="B40" s="3">
        <v>0.99</v>
      </c>
      <c r="C40" t="s">
        <v>17</v>
      </c>
      <c r="E40" s="6"/>
    </row>
    <row r="41" spans="1:10" x14ac:dyDescent="0.3">
      <c r="A41">
        <v>2045</v>
      </c>
      <c r="B41" s="3">
        <v>0.99</v>
      </c>
      <c r="C41" t="s">
        <v>17</v>
      </c>
      <c r="E41" s="6"/>
    </row>
    <row r="42" spans="1:10" x14ac:dyDescent="0.3">
      <c r="A42">
        <v>2050</v>
      </c>
      <c r="B42" s="3">
        <v>0.99</v>
      </c>
      <c r="C42" t="s">
        <v>17</v>
      </c>
      <c r="E42" s="6"/>
    </row>
    <row r="43" spans="1:10" x14ac:dyDescent="0.3">
      <c r="E43" s="6"/>
    </row>
    <row r="44" spans="1:10" x14ac:dyDescent="0.3">
      <c r="A44" s="11" t="s">
        <v>124</v>
      </c>
      <c r="B44" s="12"/>
      <c r="C44" s="12"/>
      <c r="D44" s="12"/>
      <c r="E44" s="14"/>
      <c r="F44" s="12"/>
      <c r="G44" s="12"/>
      <c r="H44" s="12"/>
      <c r="I44" s="12"/>
      <c r="J44" s="12"/>
    </row>
    <row r="45" spans="1:10" x14ac:dyDescent="0.3">
      <c r="E45" s="6"/>
    </row>
    <row r="46" spans="1:10" x14ac:dyDescent="0.3">
      <c r="A46" t="s">
        <v>12</v>
      </c>
      <c r="E46" s="6"/>
      <c r="F46" t="s">
        <v>13</v>
      </c>
    </row>
    <row r="47" spans="1:10" x14ac:dyDescent="0.3">
      <c r="E47" s="6"/>
      <c r="F47" t="s">
        <v>15</v>
      </c>
    </row>
    <row r="48" spans="1:10" x14ac:dyDescent="0.3">
      <c r="A48" s="3">
        <v>550</v>
      </c>
      <c r="B48" t="s">
        <v>125</v>
      </c>
      <c r="E48" s="6"/>
    </row>
    <row r="49" spans="1:10" x14ac:dyDescent="0.3">
      <c r="A49" s="3">
        <v>2.63</v>
      </c>
      <c r="B49" t="s">
        <v>126</v>
      </c>
      <c r="E49" s="6"/>
      <c r="F49" t="s">
        <v>62</v>
      </c>
      <c r="J49" s="6"/>
    </row>
    <row r="50" spans="1:10" x14ac:dyDescent="0.3">
      <c r="A50" s="20" t="s">
        <v>127</v>
      </c>
      <c r="E50" s="6"/>
      <c r="F50" s="38">
        <f>A61</f>
        <v>86.205555555555549</v>
      </c>
      <c r="G50" s="84" t="s">
        <v>63</v>
      </c>
      <c r="H50" s="85"/>
      <c r="I50" s="85"/>
      <c r="J50" s="95"/>
    </row>
    <row r="51" spans="1:10" x14ac:dyDescent="0.3">
      <c r="E51" s="6"/>
    </row>
    <row r="52" spans="1:10" x14ac:dyDescent="0.3">
      <c r="A52" s="49">
        <f>A48*A49</f>
        <v>1446.5</v>
      </c>
      <c r="B52" t="s">
        <v>128</v>
      </c>
      <c r="E52" s="6"/>
    </row>
    <row r="53" spans="1:10" x14ac:dyDescent="0.3">
      <c r="A53" s="50">
        <f>A52/$B$37</f>
        <v>1461.1111111111111</v>
      </c>
      <c r="B53" t="s">
        <v>129</v>
      </c>
      <c r="E53" s="6"/>
    </row>
    <row r="54" spans="1:10" x14ac:dyDescent="0.3">
      <c r="E54" s="6"/>
    </row>
    <row r="55" spans="1:10" x14ac:dyDescent="0.3">
      <c r="A55" t="s">
        <v>59</v>
      </c>
      <c r="E55" s="6"/>
    </row>
    <row r="56" spans="1:10" x14ac:dyDescent="0.3">
      <c r="A56" s="2">
        <v>59</v>
      </c>
      <c r="B56" t="s">
        <v>60</v>
      </c>
      <c r="E56" s="6"/>
    </row>
    <row r="57" spans="1:10" ht="29.1" customHeight="1" x14ac:dyDescent="0.3">
      <c r="A57" s="102" t="s">
        <v>130</v>
      </c>
      <c r="B57" s="102"/>
      <c r="C57" s="102"/>
      <c r="D57" s="102"/>
      <c r="E57" s="103"/>
    </row>
    <row r="58" spans="1:10" x14ac:dyDescent="0.3">
      <c r="A58" s="117" t="s">
        <v>224</v>
      </c>
      <c r="B58" s="117"/>
      <c r="C58" s="117"/>
      <c r="D58" s="117"/>
      <c r="E58" s="117"/>
    </row>
    <row r="59" spans="1:10" x14ac:dyDescent="0.3">
      <c r="E59" s="6"/>
    </row>
    <row r="60" spans="1:10" x14ac:dyDescent="0.3">
      <c r="A60" t="s">
        <v>62</v>
      </c>
      <c r="E60" s="6"/>
    </row>
    <row r="61" spans="1:10" x14ac:dyDescent="0.3">
      <c r="A61" s="37">
        <f>A53*($A$56/1000)</f>
        <v>86.205555555555549</v>
      </c>
      <c r="B61" s="84" t="s">
        <v>63</v>
      </c>
      <c r="C61" s="85"/>
      <c r="D61" s="85"/>
      <c r="E61" s="95"/>
    </row>
    <row r="62" spans="1:10" x14ac:dyDescent="0.3">
      <c r="E62" s="6"/>
      <c r="F62" s="12"/>
      <c r="G62" s="12"/>
      <c r="H62" s="12"/>
      <c r="I62" s="12"/>
      <c r="J62" s="12"/>
    </row>
    <row r="63" spans="1:10" x14ac:dyDescent="0.3">
      <c r="A63" s="11" t="s">
        <v>131</v>
      </c>
      <c r="B63" s="12"/>
      <c r="C63" s="12"/>
      <c r="D63" s="12"/>
      <c r="E63" s="14"/>
    </row>
    <row r="64" spans="1:10" x14ac:dyDescent="0.3">
      <c r="E64" s="6"/>
      <c r="F64" t="s">
        <v>13</v>
      </c>
    </row>
    <row r="65" spans="1:10" x14ac:dyDescent="0.3">
      <c r="A65" t="s">
        <v>12</v>
      </c>
      <c r="E65" s="6"/>
      <c r="F65" s="81" t="s">
        <v>132</v>
      </c>
      <c r="G65" s="81"/>
      <c r="H65" s="81"/>
      <c r="I65" s="81"/>
      <c r="J65" s="81"/>
    </row>
    <row r="66" spans="1:10" x14ac:dyDescent="0.3">
      <c r="E66" s="6"/>
      <c r="F66" s="81"/>
      <c r="G66" s="81"/>
      <c r="H66" s="81"/>
      <c r="I66" s="81"/>
      <c r="J66" s="81"/>
    </row>
    <row r="67" spans="1:10" x14ac:dyDescent="0.3">
      <c r="A67" t="s">
        <v>133</v>
      </c>
      <c r="E67" s="6"/>
      <c r="F67" s="81"/>
      <c r="G67" s="81"/>
      <c r="H67" s="81"/>
      <c r="I67" s="81"/>
      <c r="J67" s="81"/>
    </row>
    <row r="68" spans="1:10" x14ac:dyDescent="0.3">
      <c r="E68" s="6"/>
    </row>
    <row r="69" spans="1:10" x14ac:dyDescent="0.3">
      <c r="A69" t="s">
        <v>90</v>
      </c>
      <c r="E69" s="6"/>
      <c r="F69" t="s">
        <v>135</v>
      </c>
    </row>
    <row r="70" spans="1:10" x14ac:dyDescent="0.3">
      <c r="A70" s="28">
        <v>445</v>
      </c>
      <c r="B70" t="s">
        <v>134</v>
      </c>
      <c r="E70" s="6"/>
    </row>
    <row r="71" spans="1:10" x14ac:dyDescent="0.3">
      <c r="A71" s="28">
        <v>2808</v>
      </c>
      <c r="B71" t="s">
        <v>136</v>
      </c>
      <c r="E71" s="6"/>
      <c r="F71" t="s">
        <v>105</v>
      </c>
    </row>
    <row r="72" spans="1:10" x14ac:dyDescent="0.3">
      <c r="A72" s="20" t="s">
        <v>137</v>
      </c>
      <c r="E72" s="6"/>
      <c r="F72" s="27">
        <f>A95</f>
        <v>20.158573789285704</v>
      </c>
      <c r="G72" t="s">
        <v>106</v>
      </c>
    </row>
    <row r="73" spans="1:10" x14ac:dyDescent="0.3">
      <c r="E73" s="6"/>
    </row>
    <row r="74" spans="1:10" x14ac:dyDescent="0.3">
      <c r="A74" t="s">
        <v>93</v>
      </c>
      <c r="E74" s="6"/>
    </row>
    <row r="75" spans="1:10" x14ac:dyDescent="0.3">
      <c r="E75" s="6"/>
    </row>
    <row r="76" spans="1:10" x14ac:dyDescent="0.3">
      <c r="A76" s="28">
        <v>7.3</v>
      </c>
      <c r="B76" t="s">
        <v>138</v>
      </c>
      <c r="E76" s="6"/>
    </row>
    <row r="77" spans="1:10" x14ac:dyDescent="0.3">
      <c r="A77" s="30">
        <v>1.1399999999999999</v>
      </c>
      <c r="B77" t="s">
        <v>139</v>
      </c>
      <c r="E77" s="6"/>
    </row>
    <row r="78" spans="1:10" x14ac:dyDescent="0.3">
      <c r="A78" s="34">
        <f>8.34*A77</f>
        <v>9.5075999999999983</v>
      </c>
      <c r="B78" t="s">
        <v>140</v>
      </c>
      <c r="E78" s="6"/>
    </row>
    <row r="79" spans="1:10" x14ac:dyDescent="0.3">
      <c r="A79" s="33">
        <f>A78*A76</f>
        <v>69.405479999999983</v>
      </c>
      <c r="B79" t="s">
        <v>141</v>
      </c>
      <c r="E79" s="6"/>
    </row>
    <row r="80" spans="1:10" x14ac:dyDescent="0.3">
      <c r="E80" s="6"/>
    </row>
    <row r="81" spans="1:10" x14ac:dyDescent="0.3">
      <c r="A81" t="s">
        <v>86</v>
      </c>
      <c r="E81" s="6"/>
    </row>
    <row r="82" spans="1:10" x14ac:dyDescent="0.3">
      <c r="E82" s="6"/>
    </row>
    <row r="83" spans="1:10" s="20" customFormat="1" x14ac:dyDescent="0.3">
      <c r="A83" s="34">
        <f>(A79/2000)*AVERAGE(A70:A71)</f>
        <v>56.444006609999981</v>
      </c>
      <c r="B83" t="s">
        <v>142</v>
      </c>
      <c r="C83"/>
      <c r="D83"/>
      <c r="E83" s="6"/>
    </row>
    <row r="84" spans="1:10" x14ac:dyDescent="0.3">
      <c r="A84" s="51" t="s">
        <v>143</v>
      </c>
      <c r="B84" s="20"/>
      <c r="C84" s="20"/>
      <c r="D84" s="20"/>
      <c r="E84" s="52"/>
    </row>
    <row r="85" spans="1:10" x14ac:dyDescent="0.3">
      <c r="E85" s="6"/>
    </row>
    <row r="86" spans="1:10" x14ac:dyDescent="0.3">
      <c r="A86" s="30">
        <v>162</v>
      </c>
      <c r="B86" t="s">
        <v>102</v>
      </c>
      <c r="E86" s="6"/>
    </row>
    <row r="87" spans="1:10" x14ac:dyDescent="0.3">
      <c r="A87" s="33">
        <f>A86*(1/453.6)</f>
        <v>0.3571428571428571</v>
      </c>
      <c r="B87" t="s">
        <v>103</v>
      </c>
      <c r="E87" s="6"/>
    </row>
    <row r="88" spans="1:10" x14ac:dyDescent="0.3">
      <c r="A88" s="86" t="s">
        <v>104</v>
      </c>
      <c r="B88" s="86"/>
      <c r="C88" s="86"/>
      <c r="D88" s="86"/>
      <c r="E88" s="87"/>
    </row>
    <row r="89" spans="1:10" x14ac:dyDescent="0.3">
      <c r="A89" s="86"/>
      <c r="B89" s="86"/>
      <c r="C89" s="86"/>
      <c r="D89" s="86"/>
      <c r="E89" s="87"/>
    </row>
    <row r="90" spans="1:10" x14ac:dyDescent="0.3">
      <c r="A90" s="86"/>
      <c r="B90" s="86"/>
      <c r="C90" s="86"/>
      <c r="D90" s="86"/>
      <c r="E90" s="87"/>
    </row>
    <row r="91" spans="1:10" x14ac:dyDescent="0.3">
      <c r="A91" s="86"/>
      <c r="B91" s="86"/>
      <c r="C91" s="86"/>
      <c r="D91" s="86"/>
      <c r="E91" s="87"/>
    </row>
    <row r="92" spans="1:10" x14ac:dyDescent="0.3">
      <c r="A92" s="86"/>
      <c r="B92" s="86"/>
      <c r="C92" s="86"/>
      <c r="D92" s="86"/>
      <c r="E92" s="87"/>
    </row>
    <row r="93" spans="1:10" x14ac:dyDescent="0.3">
      <c r="A93" s="86"/>
      <c r="B93" s="86"/>
      <c r="C93" s="86"/>
      <c r="D93" s="86"/>
      <c r="E93" s="87"/>
    </row>
    <row r="94" spans="1:10" x14ac:dyDescent="0.3">
      <c r="A94" t="s">
        <v>105</v>
      </c>
      <c r="E94" s="6"/>
    </row>
    <row r="95" spans="1:10" x14ac:dyDescent="0.3">
      <c r="A95" s="27">
        <f>A87*A83</f>
        <v>20.158573789285704</v>
      </c>
      <c r="B95" t="s">
        <v>106</v>
      </c>
      <c r="E95" s="6"/>
    </row>
    <row r="96" spans="1:10" x14ac:dyDescent="0.3">
      <c r="E96" s="6"/>
      <c r="F96" s="12"/>
      <c r="G96" s="12"/>
      <c r="H96" s="12"/>
      <c r="I96" s="12"/>
      <c r="J96" s="12"/>
    </row>
    <row r="97" spans="1:10" x14ac:dyDescent="0.3">
      <c r="A97" s="11" t="s">
        <v>107</v>
      </c>
      <c r="B97" s="12"/>
      <c r="C97" s="12"/>
      <c r="D97" s="12"/>
      <c r="E97" s="14"/>
    </row>
    <row r="98" spans="1:10" x14ac:dyDescent="0.3">
      <c r="E98" s="6"/>
      <c r="F98" t="s">
        <v>13</v>
      </c>
    </row>
    <row r="99" spans="1:10" x14ac:dyDescent="0.3">
      <c r="A99" t="s">
        <v>12</v>
      </c>
      <c r="E99" s="6"/>
    </row>
    <row r="100" spans="1:10" ht="14.4" customHeight="1" x14ac:dyDescent="0.3">
      <c r="E100" s="6"/>
      <c r="F100" t="s">
        <v>108</v>
      </c>
      <c r="J100" s="6"/>
    </row>
    <row r="101" spans="1:10" x14ac:dyDescent="0.3">
      <c r="A101" t="s">
        <v>108</v>
      </c>
      <c r="E101" s="6"/>
      <c r="F101" s="3">
        <v>10</v>
      </c>
      <c r="G101" t="s">
        <v>110</v>
      </c>
      <c r="J101" s="6"/>
    </row>
    <row r="102" spans="1:10" x14ac:dyDescent="0.3">
      <c r="A102" s="3">
        <v>200</v>
      </c>
      <c r="B102" t="s">
        <v>110</v>
      </c>
      <c r="E102" s="6"/>
      <c r="F102" s="54" t="s">
        <v>144</v>
      </c>
    </row>
    <row r="103" spans="1:10" x14ac:dyDescent="0.3">
      <c r="A103" s="3">
        <v>130</v>
      </c>
      <c r="B103" t="s">
        <v>110</v>
      </c>
      <c r="J103" s="6"/>
    </row>
    <row r="104" spans="1:10" x14ac:dyDescent="0.3">
      <c r="E104" s="6"/>
      <c r="F104" t="s">
        <v>111</v>
      </c>
      <c r="J104" s="6"/>
    </row>
    <row r="105" spans="1:10" x14ac:dyDescent="0.3">
      <c r="A105" t="s">
        <v>111</v>
      </c>
      <c r="E105" s="6"/>
      <c r="F105" s="35">
        <v>0.16</v>
      </c>
      <c r="J105" s="6"/>
    </row>
    <row r="106" spans="1:10" x14ac:dyDescent="0.3">
      <c r="A106" s="35">
        <v>0.16</v>
      </c>
      <c r="E106" s="6"/>
      <c r="J106" s="6"/>
    </row>
    <row r="107" spans="1:10" x14ac:dyDescent="0.3">
      <c r="E107" s="6"/>
      <c r="F107" t="s">
        <v>112</v>
      </c>
      <c r="J107" s="6"/>
    </row>
    <row r="108" spans="1:10" x14ac:dyDescent="0.3">
      <c r="A108" t="s">
        <v>112</v>
      </c>
      <c r="E108" s="6"/>
      <c r="F108" s="17">
        <f>1/F105</f>
        <v>6.25</v>
      </c>
      <c r="G108" t="s">
        <v>113</v>
      </c>
      <c r="J108" s="6"/>
    </row>
    <row r="109" spans="1:10" x14ac:dyDescent="0.3">
      <c r="A109" s="17">
        <f>1/A106</f>
        <v>6.25</v>
      </c>
      <c r="B109" t="s">
        <v>113</v>
      </c>
      <c r="E109" s="6"/>
      <c r="J109" s="6"/>
    </row>
    <row r="110" spans="1:10" x14ac:dyDescent="0.3">
      <c r="E110" s="6"/>
      <c r="F110" t="s">
        <v>86</v>
      </c>
      <c r="J110" s="6"/>
    </row>
    <row r="111" spans="1:10" x14ac:dyDescent="0.3">
      <c r="A111" t="s">
        <v>86</v>
      </c>
      <c r="E111" s="6"/>
      <c r="J111" s="6"/>
    </row>
    <row r="112" spans="1:10" x14ac:dyDescent="0.3">
      <c r="E112" s="6"/>
      <c r="F112" s="29">
        <f>F108*AVERAGE(F101:F102)</f>
        <v>62.5</v>
      </c>
      <c r="G112" t="s">
        <v>114</v>
      </c>
      <c r="J112" s="6"/>
    </row>
    <row r="113" spans="1:10" x14ac:dyDescent="0.3">
      <c r="A113" s="29">
        <f>A109*AVERAGE(A102:A103)</f>
        <v>1031.25</v>
      </c>
      <c r="B113" t="s">
        <v>114</v>
      </c>
      <c r="E113" s="6"/>
      <c r="F113" s="20" t="s">
        <v>145</v>
      </c>
      <c r="J113" s="6"/>
    </row>
    <row r="114" spans="1:10" x14ac:dyDescent="0.3">
      <c r="A114" s="20" t="s">
        <v>145</v>
      </c>
      <c r="E114" s="6"/>
      <c r="F114" s="20"/>
      <c r="J114" s="6"/>
    </row>
    <row r="115" spans="1:10" x14ac:dyDescent="0.3">
      <c r="A115" s="20"/>
      <c r="E115" s="6"/>
      <c r="F115" s="30">
        <v>162</v>
      </c>
      <c r="G115" t="s">
        <v>102</v>
      </c>
      <c r="J115" s="6"/>
    </row>
    <row r="116" spans="1:10" x14ac:dyDescent="0.3">
      <c r="A116" s="30">
        <v>162</v>
      </c>
      <c r="B116" t="s">
        <v>102</v>
      </c>
      <c r="E116" s="6"/>
      <c r="F116" s="33">
        <f>F115*(1/453.6)</f>
        <v>0.3571428571428571</v>
      </c>
      <c r="G116" t="s">
        <v>103</v>
      </c>
      <c r="J116" s="6"/>
    </row>
    <row r="117" spans="1:10" x14ac:dyDescent="0.3">
      <c r="A117" s="33">
        <f>A116*(1/453.6)</f>
        <v>0.3571428571428571</v>
      </c>
      <c r="B117" t="s">
        <v>103</v>
      </c>
      <c r="E117" s="6"/>
      <c r="F117" s="86" t="s">
        <v>104</v>
      </c>
      <c r="G117" s="86"/>
      <c r="H117" s="86"/>
      <c r="I117" s="86"/>
      <c r="J117" s="87"/>
    </row>
    <row r="118" spans="1:10" x14ac:dyDescent="0.3">
      <c r="A118" s="86" t="s">
        <v>104</v>
      </c>
      <c r="B118" s="86"/>
      <c r="C118" s="86"/>
      <c r="D118" s="86"/>
      <c r="E118" s="87"/>
      <c r="F118" s="86"/>
      <c r="G118" s="86"/>
      <c r="H118" s="86"/>
      <c r="I118" s="86"/>
      <c r="J118" s="87"/>
    </row>
    <row r="119" spans="1:10" x14ac:dyDescent="0.3">
      <c r="A119" s="86"/>
      <c r="B119" s="86"/>
      <c r="C119" s="86"/>
      <c r="D119" s="86"/>
      <c r="E119" s="87"/>
      <c r="F119" s="86"/>
      <c r="G119" s="86"/>
      <c r="H119" s="86"/>
      <c r="I119" s="86"/>
      <c r="J119" s="87"/>
    </row>
    <row r="120" spans="1:10" x14ac:dyDescent="0.3">
      <c r="A120" s="86"/>
      <c r="B120" s="86"/>
      <c r="C120" s="86"/>
      <c r="D120" s="86"/>
      <c r="E120" s="87"/>
      <c r="F120" s="86"/>
      <c r="G120" s="86"/>
      <c r="H120" s="86"/>
      <c r="I120" s="86"/>
      <c r="J120" s="87"/>
    </row>
    <row r="121" spans="1:10" x14ac:dyDescent="0.3">
      <c r="A121" s="86"/>
      <c r="B121" s="86"/>
      <c r="C121" s="86"/>
      <c r="D121" s="86"/>
      <c r="E121" s="87"/>
      <c r="F121" s="86"/>
      <c r="G121" s="86"/>
      <c r="H121" s="86"/>
      <c r="I121" s="86"/>
      <c r="J121" s="87"/>
    </row>
    <row r="122" spans="1:10" x14ac:dyDescent="0.3">
      <c r="A122" s="86"/>
      <c r="B122" s="86"/>
      <c r="C122" s="86"/>
      <c r="D122" s="86"/>
      <c r="E122" s="87"/>
      <c r="F122" s="86"/>
      <c r="G122" s="86"/>
      <c r="H122" s="86"/>
      <c r="I122" s="86"/>
      <c r="J122" s="87"/>
    </row>
    <row r="123" spans="1:10" x14ac:dyDescent="0.3">
      <c r="A123" s="86"/>
      <c r="B123" s="86"/>
      <c r="C123" s="86"/>
      <c r="D123" s="86"/>
      <c r="E123" s="87"/>
      <c r="F123" t="s">
        <v>115</v>
      </c>
      <c r="J123" s="6"/>
    </row>
    <row r="124" spans="1:10" x14ac:dyDescent="0.3">
      <c r="A124" t="s">
        <v>115</v>
      </c>
      <c r="E124" s="6"/>
      <c r="F124" s="38">
        <f>F116*F112</f>
        <v>22.321428571428569</v>
      </c>
      <c r="G124" s="84" t="s">
        <v>116</v>
      </c>
      <c r="H124" s="85"/>
      <c r="I124" s="85"/>
      <c r="J124" s="95"/>
    </row>
    <row r="125" spans="1:10" x14ac:dyDescent="0.3">
      <c r="A125" s="38">
        <f>A117*A113</f>
        <v>368.30357142857139</v>
      </c>
      <c r="B125" s="84" t="s">
        <v>116</v>
      </c>
      <c r="C125" s="85"/>
      <c r="D125" s="85"/>
      <c r="E125" s="95"/>
    </row>
    <row r="126" spans="1:10" x14ac:dyDescent="0.3">
      <c r="E126" s="6"/>
      <c r="F126" s="12"/>
      <c r="G126" s="12"/>
      <c r="H126" s="12"/>
      <c r="I126" s="12"/>
      <c r="J126" s="12"/>
    </row>
    <row r="127" spans="1:10" x14ac:dyDescent="0.3">
      <c r="A127" s="11" t="s">
        <v>146</v>
      </c>
      <c r="B127" s="12"/>
      <c r="C127" s="12"/>
      <c r="D127" s="12"/>
      <c r="E127" s="14"/>
    </row>
    <row r="128" spans="1:10" x14ac:dyDescent="0.3">
      <c r="E128" s="6"/>
      <c r="F128" t="s">
        <v>13</v>
      </c>
    </row>
    <row r="129" spans="1:10" x14ac:dyDescent="0.3">
      <c r="A129" t="s">
        <v>12</v>
      </c>
      <c r="E129" s="6"/>
    </row>
    <row r="130" spans="1:10" x14ac:dyDescent="0.3">
      <c r="E130" s="6"/>
      <c r="F130" s="38">
        <f>SUM('Windsor Inventory'!$F$267:$F$270)</f>
        <v>502.93733994271616</v>
      </c>
      <c r="G130" t="s">
        <v>147</v>
      </c>
    </row>
    <row r="131" spans="1:10" x14ac:dyDescent="0.3">
      <c r="A131" t="s">
        <v>66</v>
      </c>
      <c r="E131" s="6"/>
    </row>
    <row r="132" spans="1:10" x14ac:dyDescent="0.3">
      <c r="E132" s="6"/>
    </row>
    <row r="133" spans="1:10" x14ac:dyDescent="0.3">
      <c r="E133" s="6"/>
      <c r="F133" s="12"/>
      <c r="G133" s="12"/>
      <c r="H133" s="12"/>
      <c r="I133" s="12"/>
      <c r="J133" s="12"/>
    </row>
    <row r="134" spans="1:10" x14ac:dyDescent="0.3">
      <c r="A134" s="11" t="s">
        <v>117</v>
      </c>
      <c r="B134" s="12"/>
      <c r="C134" s="12"/>
      <c r="D134" s="12"/>
      <c r="E134" s="14"/>
    </row>
    <row r="135" spans="1:10" x14ac:dyDescent="0.3">
      <c r="E135" s="6"/>
      <c r="F135" t="s">
        <v>13</v>
      </c>
    </row>
    <row r="136" spans="1:10" ht="29.1" customHeight="1" x14ac:dyDescent="0.3">
      <c r="A136" t="s">
        <v>12</v>
      </c>
      <c r="E136" s="6"/>
      <c r="F136" s="37">
        <f>F50</f>
        <v>86.205555555555549</v>
      </c>
      <c r="G136" s="104" t="str">
        <f>B137</f>
        <v>lbs CO2e/dry ton for dewatering electricity</v>
      </c>
      <c r="H136" s="104"/>
      <c r="I136" s="104"/>
      <c r="J136" s="104"/>
    </row>
    <row r="137" spans="1:10" ht="29.4" customHeight="1" x14ac:dyDescent="0.3">
      <c r="A137" s="37">
        <f>A61</f>
        <v>86.205555555555549</v>
      </c>
      <c r="B137" s="104" t="str">
        <f>B61</f>
        <v>lbs CO2e/dry ton for dewatering electricity</v>
      </c>
      <c r="C137" s="104"/>
      <c r="D137" s="104"/>
      <c r="E137" s="104"/>
      <c r="F137" s="37">
        <f>F72</f>
        <v>20.158573789285704</v>
      </c>
      <c r="G137" s="104" t="str">
        <f>B138</f>
        <v>lbs CO2e/dry ton for chemical delivery</v>
      </c>
      <c r="H137" s="104"/>
      <c r="I137" s="104"/>
      <c r="J137" s="104"/>
    </row>
    <row r="138" spans="1:10" ht="29.4" customHeight="1" x14ac:dyDescent="0.3">
      <c r="A138" s="37">
        <f>A95</f>
        <v>20.158573789285704</v>
      </c>
      <c r="B138" s="104" t="str">
        <f>B95</f>
        <v>lbs CO2e/dry ton for chemical delivery</v>
      </c>
      <c r="C138" s="104"/>
      <c r="D138" s="104"/>
      <c r="E138" s="104"/>
      <c r="F138" s="37">
        <f>F124</f>
        <v>22.321428571428569</v>
      </c>
      <c r="G138" s="104" t="str">
        <f>G124</f>
        <v>lbs CO2e/dry ton for offsite biosolids hauling</v>
      </c>
      <c r="H138" s="104"/>
      <c r="I138" s="104"/>
      <c r="J138" s="104"/>
    </row>
    <row r="139" spans="1:10" ht="15" thickBot="1" x14ac:dyDescent="0.35">
      <c r="A139" s="37">
        <f>A125</f>
        <v>368.30357142857139</v>
      </c>
      <c r="B139" s="104" t="str">
        <f>B125</f>
        <v>lbs CO2e/dry ton for offsite biosolids hauling</v>
      </c>
      <c r="C139" s="104"/>
      <c r="D139" s="104"/>
      <c r="E139" s="104"/>
      <c r="F139" s="37">
        <f>F130</f>
        <v>502.93733994271616</v>
      </c>
      <c r="G139" s="104" t="str">
        <f>G130</f>
        <v>lbs CO2e/dry ton for biodrying and pyrolysis</v>
      </c>
      <c r="H139" s="104"/>
      <c r="I139" s="104"/>
      <c r="J139" s="104"/>
    </row>
    <row r="140" spans="1:10" ht="15" thickBot="1" x14ac:dyDescent="0.35">
      <c r="A140" s="40">
        <f>SUM(A137:A139)</f>
        <v>474.66770077341266</v>
      </c>
      <c r="B140" s="41" t="s">
        <v>118</v>
      </c>
      <c r="C140" s="41"/>
      <c r="D140" s="41"/>
      <c r="E140" s="42"/>
      <c r="F140" s="40">
        <f>SUM(F136:F139)</f>
        <v>631.62289785898599</v>
      </c>
      <c r="G140" s="41" t="s">
        <v>118</v>
      </c>
      <c r="H140" s="41"/>
      <c r="I140" s="41"/>
      <c r="J140" s="42"/>
    </row>
    <row r="141" spans="1:10" ht="15" thickBot="1" x14ac:dyDescent="0.35">
      <c r="A141" s="40">
        <f>A140/2204.6</f>
        <v>0.21530785665128035</v>
      </c>
      <c r="B141" s="41" t="s">
        <v>119</v>
      </c>
      <c r="C141" s="41"/>
      <c r="D141" s="41"/>
      <c r="E141" s="42"/>
      <c r="F141" s="40">
        <f>F140/2204.6</f>
        <v>0.28650226701396447</v>
      </c>
      <c r="G141" s="41" t="s">
        <v>119</v>
      </c>
      <c r="H141" s="41"/>
      <c r="I141" s="41"/>
      <c r="J141" s="42"/>
    </row>
    <row r="142" spans="1:10" x14ac:dyDescent="0.3">
      <c r="E142" s="6"/>
    </row>
    <row r="143" spans="1:10" x14ac:dyDescent="0.3">
      <c r="E143" s="6"/>
    </row>
  </sheetData>
  <mergeCells count="21">
    <mergeCell ref="G139:J139"/>
    <mergeCell ref="A58:E58"/>
    <mergeCell ref="G124:J124"/>
    <mergeCell ref="B137:E137"/>
    <mergeCell ref="B138:E138"/>
    <mergeCell ref="B125:E125"/>
    <mergeCell ref="B139:E139"/>
    <mergeCell ref="G136:J136"/>
    <mergeCell ref="G137:J137"/>
    <mergeCell ref="G138:J138"/>
    <mergeCell ref="F65:J67"/>
    <mergeCell ref="A88:E93"/>
    <mergeCell ref="A118:E123"/>
    <mergeCell ref="A13:I14"/>
    <mergeCell ref="A16:I21"/>
    <mergeCell ref="A23:I28"/>
    <mergeCell ref="A32:E32"/>
    <mergeCell ref="B61:E61"/>
    <mergeCell ref="A57:E57"/>
    <mergeCell ref="G50:J50"/>
    <mergeCell ref="F117:J122"/>
  </mergeCells>
  <hyperlinks>
    <hyperlink ref="A57" r:id="rId1" display="https://smartlivinghealdsburg.org/231/Power-Content-Label-and-Energy-Mix" xr:uid="{BA21D10E-6D63-439F-81BE-6807D02730CC}"/>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7F9EC-CBE2-4A7B-A845-5497F65907E3}">
  <dimension ref="A1:J140"/>
  <sheetViews>
    <sheetView topLeftCell="A119" zoomScaleNormal="100" workbookViewId="0">
      <selection activeCell="C67" sqref="C67"/>
    </sheetView>
  </sheetViews>
  <sheetFormatPr defaultRowHeight="14.4" x14ac:dyDescent="0.3"/>
  <cols>
    <col min="10" max="10" width="11.109375" customWidth="1"/>
  </cols>
  <sheetData>
    <row r="1" spans="1:10" ht="21" x14ac:dyDescent="0.4">
      <c r="A1" s="8" t="s">
        <v>0</v>
      </c>
      <c r="B1" s="9"/>
      <c r="C1" s="9"/>
      <c r="D1" s="9"/>
      <c r="E1" s="9"/>
      <c r="F1" s="9"/>
      <c r="G1" s="9"/>
      <c r="H1" s="9"/>
      <c r="I1" s="9"/>
      <c r="J1" s="9"/>
    </row>
    <row r="2" spans="1:10" ht="15.6" x14ac:dyDescent="0.3">
      <c r="A2" s="10" t="s">
        <v>148</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149</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150</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29" spans="1:10" x14ac:dyDescent="0.3">
      <c r="A29" s="11" t="s">
        <v>11</v>
      </c>
      <c r="B29" s="12"/>
      <c r="C29" s="12"/>
      <c r="D29" s="12"/>
      <c r="E29" s="14"/>
      <c r="F29" s="12"/>
      <c r="G29" s="12"/>
      <c r="H29" s="12"/>
      <c r="I29" s="12"/>
      <c r="J29" s="12"/>
    </row>
    <row r="30" spans="1:10" x14ac:dyDescent="0.3">
      <c r="E30" s="6"/>
    </row>
    <row r="31" spans="1:10" x14ac:dyDescent="0.3">
      <c r="A31" t="s">
        <v>12</v>
      </c>
      <c r="E31" s="6"/>
      <c r="F31" t="s">
        <v>13</v>
      </c>
    </row>
    <row r="32" spans="1:10" x14ac:dyDescent="0.3">
      <c r="A32" s="83" t="s">
        <v>151</v>
      </c>
      <c r="B32" s="83"/>
      <c r="C32" s="83"/>
      <c r="D32" s="83"/>
      <c r="E32" s="83"/>
      <c r="F32" t="s">
        <v>15</v>
      </c>
    </row>
    <row r="33" spans="1:10" x14ac:dyDescent="0.3">
      <c r="E33" s="6"/>
    </row>
    <row r="34" spans="1:10" x14ac:dyDescent="0.3">
      <c r="A34" s="11" t="s">
        <v>16</v>
      </c>
      <c r="B34" s="12"/>
      <c r="C34" s="12"/>
      <c r="D34" s="12"/>
      <c r="E34" s="14"/>
      <c r="F34" s="12"/>
      <c r="G34" s="12"/>
      <c r="H34" s="12"/>
      <c r="I34" s="12"/>
      <c r="J34" s="12"/>
    </row>
    <row r="35" spans="1:10" x14ac:dyDescent="0.3">
      <c r="E35" s="6"/>
    </row>
    <row r="36" spans="1:10" x14ac:dyDescent="0.3">
      <c r="A36" t="s">
        <v>12</v>
      </c>
      <c r="E36" s="6"/>
      <c r="F36" t="s">
        <v>13</v>
      </c>
    </row>
    <row r="37" spans="1:10" x14ac:dyDescent="0.3">
      <c r="A37">
        <v>2025</v>
      </c>
      <c r="B37" s="3">
        <v>0.21</v>
      </c>
      <c r="C37" t="s">
        <v>17</v>
      </c>
      <c r="E37" s="6"/>
      <c r="F37" t="s">
        <v>15</v>
      </c>
    </row>
    <row r="38" spans="1:10" x14ac:dyDescent="0.3">
      <c r="A38">
        <v>2030</v>
      </c>
      <c r="B38" s="3">
        <v>0.21</v>
      </c>
      <c r="C38" t="s">
        <v>17</v>
      </c>
      <c r="E38" s="6"/>
    </row>
    <row r="39" spans="1:10" x14ac:dyDescent="0.3">
      <c r="A39">
        <v>2035</v>
      </c>
      <c r="B39" s="3">
        <v>0.21</v>
      </c>
      <c r="C39" t="s">
        <v>17</v>
      </c>
      <c r="E39" s="6"/>
    </row>
    <row r="40" spans="1:10" x14ac:dyDescent="0.3">
      <c r="A40">
        <v>2040</v>
      </c>
      <c r="B40" s="3">
        <v>0.21</v>
      </c>
      <c r="C40" t="s">
        <v>17</v>
      </c>
      <c r="E40" s="6"/>
    </row>
    <row r="41" spans="1:10" x14ac:dyDescent="0.3">
      <c r="A41">
        <v>2045</v>
      </c>
      <c r="B41" s="3">
        <v>0.21</v>
      </c>
      <c r="C41" t="s">
        <v>17</v>
      </c>
      <c r="E41" s="6"/>
    </row>
    <row r="42" spans="1:10" x14ac:dyDescent="0.3">
      <c r="A42">
        <v>2050</v>
      </c>
      <c r="B42" s="3">
        <v>0.21</v>
      </c>
      <c r="C42" t="s">
        <v>17</v>
      </c>
      <c r="E42" s="6"/>
    </row>
    <row r="43" spans="1:10" x14ac:dyDescent="0.3">
      <c r="E43" s="6"/>
    </row>
    <row r="44" spans="1:10" x14ac:dyDescent="0.3">
      <c r="A44" s="11" t="s">
        <v>152</v>
      </c>
      <c r="B44" s="12"/>
      <c r="C44" s="12"/>
      <c r="D44" s="12"/>
      <c r="E44" s="14"/>
      <c r="F44" s="12"/>
      <c r="G44" s="12"/>
      <c r="H44" s="12"/>
      <c r="I44" s="12"/>
      <c r="J44" s="12"/>
    </row>
    <row r="45" spans="1:10" x14ac:dyDescent="0.3">
      <c r="E45" s="6"/>
    </row>
    <row r="46" spans="1:10" x14ac:dyDescent="0.3">
      <c r="A46" t="s">
        <v>12</v>
      </c>
      <c r="E46" s="6"/>
      <c r="F46" t="s">
        <v>153</v>
      </c>
    </row>
    <row r="47" spans="1:10" x14ac:dyDescent="0.3">
      <c r="E47" s="6"/>
    </row>
    <row r="48" spans="1:10" x14ac:dyDescent="0.3">
      <c r="A48" s="81" t="s">
        <v>19</v>
      </c>
      <c r="B48" s="81"/>
      <c r="C48" s="81"/>
      <c r="D48" s="81"/>
      <c r="E48" s="82"/>
      <c r="F48" t="s">
        <v>15</v>
      </c>
    </row>
    <row r="49" spans="1:7" x14ac:dyDescent="0.3">
      <c r="A49" t="s">
        <v>21</v>
      </c>
      <c r="E49" s="6"/>
    </row>
    <row r="50" spans="1:7" x14ac:dyDescent="0.3">
      <c r="A50" s="16" t="s">
        <v>22</v>
      </c>
      <c r="E50" s="6"/>
      <c r="F50" s="61">
        <f>A70</f>
        <v>0</v>
      </c>
      <c r="G50" t="s">
        <v>40</v>
      </c>
    </row>
    <row r="51" spans="1:7" x14ac:dyDescent="0.3">
      <c r="A51" s="16" t="s">
        <v>23</v>
      </c>
      <c r="E51" s="6"/>
    </row>
    <row r="52" spans="1:7" x14ac:dyDescent="0.3">
      <c r="A52" s="16" t="s">
        <v>24</v>
      </c>
      <c r="E52" s="6"/>
    </row>
    <row r="53" spans="1:7" x14ac:dyDescent="0.3">
      <c r="E53" s="6"/>
    </row>
    <row r="54" spans="1:7" x14ac:dyDescent="0.3">
      <c r="A54" t="s">
        <v>29</v>
      </c>
      <c r="E54" s="6"/>
    </row>
    <row r="55" spans="1:7" x14ac:dyDescent="0.3">
      <c r="A55" s="2">
        <v>1025</v>
      </c>
      <c r="B55" t="s">
        <v>30</v>
      </c>
      <c r="E55" s="6"/>
    </row>
    <row r="56" spans="1:7" x14ac:dyDescent="0.3">
      <c r="A56" s="20" t="s">
        <v>154</v>
      </c>
      <c r="E56" s="6"/>
    </row>
    <row r="57" spans="1:7" x14ac:dyDescent="0.3">
      <c r="E57" s="6"/>
    </row>
    <row r="58" spans="1:7" x14ac:dyDescent="0.3">
      <c r="A58" s="2">
        <f>B42</f>
        <v>0.21</v>
      </c>
      <c r="B58" t="s">
        <v>31</v>
      </c>
      <c r="E58" s="6"/>
    </row>
    <row r="59" spans="1:7" x14ac:dyDescent="0.3">
      <c r="A59" s="19">
        <f>A58*A55</f>
        <v>215.25</v>
      </c>
      <c r="B59" t="s">
        <v>32</v>
      </c>
      <c r="E59" s="6"/>
    </row>
    <row r="60" spans="1:7" x14ac:dyDescent="0.3">
      <c r="A60" s="20" t="s">
        <v>33</v>
      </c>
      <c r="E60" s="6"/>
    </row>
    <row r="61" spans="1:7" x14ac:dyDescent="0.3">
      <c r="E61" s="6"/>
    </row>
    <row r="62" spans="1:7" x14ac:dyDescent="0.3">
      <c r="A62" t="s">
        <v>34</v>
      </c>
      <c r="E62" s="6"/>
    </row>
    <row r="63" spans="1:7" x14ac:dyDescent="0.3">
      <c r="A63" s="2" t="s">
        <v>155</v>
      </c>
      <c r="E63" s="6"/>
    </row>
    <row r="64" spans="1:7" x14ac:dyDescent="0.3">
      <c r="A64" t="s">
        <v>36</v>
      </c>
      <c r="E64" s="6"/>
    </row>
    <row r="65" spans="1:10" x14ac:dyDescent="0.3">
      <c r="A65" s="2" t="s">
        <v>35</v>
      </c>
      <c r="E65" s="6"/>
    </row>
    <row r="66" spans="1:10" x14ac:dyDescent="0.3">
      <c r="E66" s="6"/>
    </row>
    <row r="67" spans="1:10" x14ac:dyDescent="0.3">
      <c r="A67" t="s">
        <v>37</v>
      </c>
      <c r="E67" s="6"/>
    </row>
    <row r="68" spans="1:10" x14ac:dyDescent="0.3">
      <c r="A68" s="22">
        <v>0</v>
      </c>
      <c r="B68" t="s">
        <v>38</v>
      </c>
      <c r="E68" s="6"/>
    </row>
    <row r="69" spans="1:10" x14ac:dyDescent="0.3">
      <c r="A69" s="17">
        <f>A68/A58</f>
        <v>0</v>
      </c>
      <c r="B69" t="s">
        <v>39</v>
      </c>
      <c r="E69" s="6"/>
    </row>
    <row r="70" spans="1:10" x14ac:dyDescent="0.3">
      <c r="A70" s="24">
        <f>A69*2204.62</f>
        <v>0</v>
      </c>
      <c r="B70" t="s">
        <v>40</v>
      </c>
      <c r="E70" s="6"/>
    </row>
    <row r="71" spans="1:10" x14ac:dyDescent="0.3">
      <c r="E71" s="6"/>
    </row>
    <row r="72" spans="1:10" x14ac:dyDescent="0.3">
      <c r="A72" s="105" t="s">
        <v>156</v>
      </c>
      <c r="B72" s="105"/>
      <c r="C72" s="105"/>
      <c r="D72" s="105"/>
      <c r="E72" s="106"/>
    </row>
    <row r="73" spans="1:10" x14ac:dyDescent="0.3">
      <c r="A73" s="105"/>
      <c r="B73" s="105"/>
      <c r="C73" s="105"/>
      <c r="D73" s="105"/>
      <c r="E73" s="106"/>
    </row>
    <row r="74" spans="1:10" x14ac:dyDescent="0.3">
      <c r="E74" s="6"/>
    </row>
    <row r="75" spans="1:10" x14ac:dyDescent="0.3">
      <c r="A75" s="11" t="s">
        <v>124</v>
      </c>
      <c r="B75" s="12"/>
      <c r="C75" s="12"/>
      <c r="D75" s="12"/>
      <c r="E75" s="14"/>
      <c r="F75" s="12"/>
      <c r="G75" s="12"/>
      <c r="H75" s="12"/>
      <c r="I75" s="12"/>
      <c r="J75" s="12"/>
    </row>
    <row r="76" spans="1:10" x14ac:dyDescent="0.3">
      <c r="E76" s="6"/>
    </row>
    <row r="77" spans="1:10" x14ac:dyDescent="0.3">
      <c r="A77" t="s">
        <v>12</v>
      </c>
      <c r="E77" s="6"/>
      <c r="F77" t="s">
        <v>13</v>
      </c>
    </row>
    <row r="78" spans="1:10" x14ac:dyDescent="0.3">
      <c r="E78" s="6"/>
      <c r="F78" t="s">
        <v>15</v>
      </c>
    </row>
    <row r="79" spans="1:10" x14ac:dyDescent="0.3">
      <c r="A79" t="s">
        <v>42</v>
      </c>
      <c r="E79" s="6"/>
    </row>
    <row r="80" spans="1:10" x14ac:dyDescent="0.3">
      <c r="A80" s="3">
        <f>'Windsor Inventory'!A83</f>
        <v>37.85</v>
      </c>
      <c r="B80" t="s">
        <v>44</v>
      </c>
      <c r="E80" s="6"/>
      <c r="F80" t="s">
        <v>62</v>
      </c>
      <c r="J80" s="6"/>
    </row>
    <row r="81" spans="1:10" ht="14.4" customHeight="1" x14ac:dyDescent="0.3">
      <c r="A81" s="86" t="s">
        <v>157</v>
      </c>
      <c r="B81" s="86"/>
      <c r="C81" s="86"/>
      <c r="D81" s="86"/>
      <c r="E81" s="6"/>
      <c r="F81" s="37">
        <f>A92</f>
        <v>2.6495000000000002</v>
      </c>
      <c r="G81" s="84" t="s">
        <v>63</v>
      </c>
      <c r="H81" s="85"/>
      <c r="I81" s="85"/>
      <c r="J81" s="95"/>
    </row>
    <row r="82" spans="1:10" x14ac:dyDescent="0.3">
      <c r="A82" s="86"/>
      <c r="B82" s="86"/>
      <c r="C82" s="86"/>
      <c r="D82" s="86"/>
      <c r="E82" s="6"/>
    </row>
    <row r="83" spans="1:10" x14ac:dyDescent="0.3">
      <c r="E83" s="6"/>
    </row>
    <row r="84" spans="1:10" x14ac:dyDescent="0.3">
      <c r="A84" t="s">
        <v>57</v>
      </c>
      <c r="E84" s="6"/>
    </row>
    <row r="85" spans="1:10" x14ac:dyDescent="0.3">
      <c r="A85" s="88" t="s">
        <v>58</v>
      </c>
      <c r="B85" s="89"/>
      <c r="C85" s="89"/>
      <c r="D85" s="90"/>
      <c r="E85" s="6"/>
    </row>
    <row r="86" spans="1:10" x14ac:dyDescent="0.3">
      <c r="E86" s="6"/>
    </row>
    <row r="87" spans="1:10" x14ac:dyDescent="0.3">
      <c r="A87" t="s">
        <v>59</v>
      </c>
      <c r="E87" s="6"/>
    </row>
    <row r="88" spans="1:10" x14ac:dyDescent="0.3">
      <c r="A88" s="2">
        <v>70</v>
      </c>
      <c r="B88" t="s">
        <v>60</v>
      </c>
      <c r="E88" s="6"/>
    </row>
    <row r="89" spans="1:10" x14ac:dyDescent="0.3">
      <c r="A89" s="23" t="s">
        <v>61</v>
      </c>
      <c r="E89" s="6"/>
    </row>
    <row r="90" spans="1:10" x14ac:dyDescent="0.3">
      <c r="E90" s="6"/>
    </row>
    <row r="91" spans="1:10" x14ac:dyDescent="0.3">
      <c r="A91" t="s">
        <v>62</v>
      </c>
      <c r="E91" s="6"/>
    </row>
    <row r="92" spans="1:10" x14ac:dyDescent="0.3">
      <c r="A92" s="37">
        <f>A80*($A$88/1000)</f>
        <v>2.6495000000000002</v>
      </c>
      <c r="B92" s="84" t="s">
        <v>63</v>
      </c>
      <c r="C92" s="85"/>
      <c r="D92" s="85"/>
      <c r="E92" s="95"/>
    </row>
    <row r="93" spans="1:10" x14ac:dyDescent="0.3">
      <c r="E93" s="6"/>
    </row>
    <row r="94" spans="1:10" x14ac:dyDescent="0.3">
      <c r="A94" s="11" t="s">
        <v>107</v>
      </c>
      <c r="B94" s="12"/>
      <c r="C94" s="12"/>
      <c r="D94" s="12"/>
      <c r="E94" s="14"/>
      <c r="F94" s="12"/>
      <c r="G94" s="12"/>
      <c r="H94" s="12"/>
      <c r="I94" s="12"/>
      <c r="J94" s="12"/>
    </row>
    <row r="95" spans="1:10" x14ac:dyDescent="0.3">
      <c r="E95" s="6"/>
    </row>
    <row r="96" spans="1:10" x14ac:dyDescent="0.3">
      <c r="A96" t="s">
        <v>12</v>
      </c>
      <c r="E96" s="6"/>
      <c r="F96" t="s">
        <v>13</v>
      </c>
    </row>
    <row r="97" spans="1:10" x14ac:dyDescent="0.3">
      <c r="E97" s="6"/>
    </row>
    <row r="98" spans="1:10" x14ac:dyDescent="0.3">
      <c r="A98" t="s">
        <v>108</v>
      </c>
      <c r="E98" s="6"/>
      <c r="F98" t="s">
        <v>108</v>
      </c>
      <c r="J98" s="6"/>
    </row>
    <row r="99" spans="1:10" x14ac:dyDescent="0.3">
      <c r="A99" s="3">
        <v>154</v>
      </c>
      <c r="B99" t="s">
        <v>110</v>
      </c>
      <c r="E99" s="6"/>
      <c r="F99" s="28">
        <v>23</v>
      </c>
      <c r="G99" t="s">
        <v>110</v>
      </c>
      <c r="J99" s="6"/>
    </row>
    <row r="100" spans="1:10" x14ac:dyDescent="0.3">
      <c r="E100" s="6"/>
      <c r="F100" s="62" t="s">
        <v>144</v>
      </c>
    </row>
    <row r="101" spans="1:10" x14ac:dyDescent="0.3">
      <c r="A101" t="s">
        <v>111</v>
      </c>
      <c r="E101" s="6"/>
      <c r="J101" s="6"/>
    </row>
    <row r="102" spans="1:10" x14ac:dyDescent="0.3">
      <c r="A102" s="35">
        <v>0.23</v>
      </c>
      <c r="E102" s="6"/>
      <c r="F102" t="s">
        <v>111</v>
      </c>
      <c r="J102" s="6"/>
    </row>
    <row r="103" spans="1:10" x14ac:dyDescent="0.3">
      <c r="E103" s="6"/>
      <c r="F103" s="63">
        <v>0.23</v>
      </c>
      <c r="J103" s="6"/>
    </row>
    <row r="104" spans="1:10" x14ac:dyDescent="0.3">
      <c r="A104" t="s">
        <v>112</v>
      </c>
      <c r="E104" s="6"/>
      <c r="J104" s="6"/>
    </row>
    <row r="105" spans="1:10" x14ac:dyDescent="0.3">
      <c r="A105" s="17">
        <f>1/A102</f>
        <v>4.3478260869565215</v>
      </c>
      <c r="B105" t="s">
        <v>113</v>
      </c>
      <c r="E105" s="6"/>
      <c r="F105" t="s">
        <v>112</v>
      </c>
      <c r="J105" s="6"/>
    </row>
    <row r="106" spans="1:10" x14ac:dyDescent="0.3">
      <c r="E106" s="6"/>
      <c r="F106" s="33">
        <f>1/F103</f>
        <v>4.3478260869565215</v>
      </c>
      <c r="G106" t="s">
        <v>113</v>
      </c>
      <c r="J106" s="6"/>
    </row>
    <row r="107" spans="1:10" x14ac:dyDescent="0.3">
      <c r="A107" t="s">
        <v>86</v>
      </c>
      <c r="E107" s="6"/>
      <c r="J107" s="6"/>
    </row>
    <row r="108" spans="1:10" x14ac:dyDescent="0.3">
      <c r="E108" s="6"/>
      <c r="F108" t="s">
        <v>86</v>
      </c>
      <c r="J108" s="6"/>
    </row>
    <row r="109" spans="1:10" x14ac:dyDescent="0.3">
      <c r="A109" s="29">
        <f>A105*AVERAGE(A99:A99)</f>
        <v>669.56521739130426</v>
      </c>
      <c r="B109" t="s">
        <v>114</v>
      </c>
      <c r="E109" s="6"/>
      <c r="J109" s="6"/>
    </row>
    <row r="110" spans="1:10" x14ac:dyDescent="0.3">
      <c r="A110" s="20" t="s">
        <v>145</v>
      </c>
      <c r="E110" s="6"/>
      <c r="F110" s="29">
        <f>F106*AVERAGE(F99:F100)</f>
        <v>100</v>
      </c>
      <c r="G110" t="s">
        <v>114</v>
      </c>
      <c r="J110" s="6"/>
    </row>
    <row r="111" spans="1:10" x14ac:dyDescent="0.3">
      <c r="A111" s="20"/>
      <c r="E111" s="6"/>
      <c r="F111" s="20" t="s">
        <v>145</v>
      </c>
      <c r="J111" s="6"/>
    </row>
    <row r="112" spans="1:10" x14ac:dyDescent="0.3">
      <c r="A112" s="30">
        <v>162</v>
      </c>
      <c r="B112" t="s">
        <v>102</v>
      </c>
      <c r="E112" s="6"/>
      <c r="F112" s="20"/>
      <c r="J112" s="6"/>
    </row>
    <row r="113" spans="1:10" x14ac:dyDescent="0.3">
      <c r="A113" s="33">
        <f>A112*(1/453.6)</f>
        <v>0.3571428571428571</v>
      </c>
      <c r="B113" t="s">
        <v>103</v>
      </c>
      <c r="E113" s="6"/>
      <c r="F113" s="30">
        <v>162</v>
      </c>
      <c r="G113" t="s">
        <v>102</v>
      </c>
      <c r="J113" s="6"/>
    </row>
    <row r="114" spans="1:10" x14ac:dyDescent="0.3">
      <c r="A114" s="86" t="s">
        <v>104</v>
      </c>
      <c r="B114" s="86"/>
      <c r="C114" s="86"/>
      <c r="D114" s="86"/>
      <c r="E114" s="87"/>
      <c r="F114" s="33">
        <f>F113*(1/453.6)</f>
        <v>0.3571428571428571</v>
      </c>
      <c r="G114" t="s">
        <v>103</v>
      </c>
      <c r="J114" s="6"/>
    </row>
    <row r="115" spans="1:10" x14ac:dyDescent="0.3">
      <c r="A115" s="86"/>
      <c r="B115" s="86"/>
      <c r="C115" s="86"/>
      <c r="D115" s="86"/>
      <c r="E115" s="87"/>
      <c r="F115" s="86" t="s">
        <v>104</v>
      </c>
      <c r="G115" s="86"/>
      <c r="H115" s="86"/>
      <c r="I115" s="86"/>
      <c r="J115" s="87"/>
    </row>
    <row r="116" spans="1:10" x14ac:dyDescent="0.3">
      <c r="A116" s="86"/>
      <c r="B116" s="86"/>
      <c r="C116" s="86"/>
      <c r="D116" s="86"/>
      <c r="E116" s="87"/>
      <c r="F116" s="86"/>
      <c r="G116" s="86"/>
      <c r="H116" s="86"/>
      <c r="I116" s="86"/>
      <c r="J116" s="87"/>
    </row>
    <row r="117" spans="1:10" x14ac:dyDescent="0.3">
      <c r="A117" s="86"/>
      <c r="B117" s="86"/>
      <c r="C117" s="86"/>
      <c r="D117" s="86"/>
      <c r="E117" s="87"/>
      <c r="F117" s="86"/>
      <c r="G117" s="86"/>
      <c r="H117" s="86"/>
      <c r="I117" s="86"/>
      <c r="J117" s="87"/>
    </row>
    <row r="118" spans="1:10" x14ac:dyDescent="0.3">
      <c r="A118" s="86"/>
      <c r="B118" s="86"/>
      <c r="C118" s="86"/>
      <c r="D118" s="86"/>
      <c r="E118" s="87"/>
      <c r="F118" s="86"/>
      <c r="G118" s="86"/>
      <c r="H118" s="86"/>
      <c r="I118" s="86"/>
      <c r="J118" s="87"/>
    </row>
    <row r="119" spans="1:10" x14ac:dyDescent="0.3">
      <c r="A119" s="86"/>
      <c r="B119" s="86"/>
      <c r="C119" s="86"/>
      <c r="D119" s="86"/>
      <c r="E119" s="87"/>
      <c r="F119" s="86"/>
      <c r="G119" s="86"/>
      <c r="H119" s="86"/>
      <c r="I119" s="86"/>
      <c r="J119" s="87"/>
    </row>
    <row r="120" spans="1:10" x14ac:dyDescent="0.3">
      <c r="A120" t="s">
        <v>115</v>
      </c>
      <c r="E120" s="6"/>
      <c r="F120" s="86"/>
      <c r="G120" s="86"/>
      <c r="H120" s="86"/>
      <c r="I120" s="86"/>
      <c r="J120" s="87"/>
    </row>
    <row r="121" spans="1:10" x14ac:dyDescent="0.3">
      <c r="A121" s="38">
        <f>A113*A109</f>
        <v>239.13043478260863</v>
      </c>
      <c r="B121" s="84" t="s">
        <v>116</v>
      </c>
      <c r="C121" s="85"/>
      <c r="D121" s="85"/>
      <c r="E121" s="95"/>
      <c r="F121" t="s">
        <v>115</v>
      </c>
      <c r="J121" s="6"/>
    </row>
    <row r="122" spans="1:10" x14ac:dyDescent="0.3">
      <c r="E122" s="6"/>
      <c r="F122" s="38">
        <f>F114*F110</f>
        <v>35.714285714285708</v>
      </c>
      <c r="G122" s="84" t="s">
        <v>116</v>
      </c>
      <c r="H122" s="85"/>
      <c r="I122" s="85"/>
      <c r="J122" s="95"/>
    </row>
    <row r="123" spans="1:10" x14ac:dyDescent="0.3">
      <c r="E123" s="6"/>
    </row>
    <row r="124" spans="1:10" x14ac:dyDescent="0.3">
      <c r="A124" s="11" t="s">
        <v>146</v>
      </c>
      <c r="B124" s="12"/>
      <c r="C124" s="12"/>
      <c r="D124" s="12"/>
      <c r="E124" s="14"/>
      <c r="F124" s="12"/>
      <c r="G124" s="12"/>
      <c r="H124" s="12"/>
      <c r="I124" s="12"/>
      <c r="J124" s="12"/>
    </row>
    <row r="125" spans="1:10" x14ac:dyDescent="0.3">
      <c r="E125" s="6"/>
    </row>
    <row r="126" spans="1:10" x14ac:dyDescent="0.3">
      <c r="A126" t="s">
        <v>12</v>
      </c>
      <c r="E126" s="6"/>
      <c r="F126" t="s">
        <v>13</v>
      </c>
    </row>
    <row r="127" spans="1:10" x14ac:dyDescent="0.3">
      <c r="E127" s="6"/>
    </row>
    <row r="128" spans="1:10" x14ac:dyDescent="0.3">
      <c r="A128" t="s">
        <v>66</v>
      </c>
      <c r="E128" s="6"/>
      <c r="F128" s="38">
        <f>SUM('Windsor Inventory'!$F$267:$F$270)</f>
        <v>502.93733994271616</v>
      </c>
      <c r="G128" t="s">
        <v>147</v>
      </c>
    </row>
    <row r="129" spans="1:10" x14ac:dyDescent="0.3">
      <c r="E129" s="6"/>
    </row>
    <row r="130" spans="1:10" x14ac:dyDescent="0.3">
      <c r="E130" s="6"/>
    </row>
    <row r="131" spans="1:10" x14ac:dyDescent="0.3">
      <c r="A131" s="11" t="s">
        <v>117</v>
      </c>
      <c r="B131" s="12"/>
      <c r="C131" s="12"/>
      <c r="D131" s="12"/>
      <c r="E131" s="14"/>
      <c r="F131" s="12"/>
      <c r="G131" s="12"/>
      <c r="H131" s="12"/>
      <c r="I131" s="12"/>
      <c r="J131" s="12"/>
    </row>
    <row r="132" spans="1:10" x14ac:dyDescent="0.3">
      <c r="E132" s="6"/>
    </row>
    <row r="133" spans="1:10" x14ac:dyDescent="0.3">
      <c r="A133" t="s">
        <v>12</v>
      </c>
      <c r="E133" s="6"/>
      <c r="F133" t="s">
        <v>13</v>
      </c>
    </row>
    <row r="134" spans="1:10" x14ac:dyDescent="0.3">
      <c r="A134" s="37">
        <f>A70</f>
        <v>0</v>
      </c>
      <c r="B134" s="104" t="str">
        <f>B70</f>
        <v>lbs CO2e/dry ton for onsite storage</v>
      </c>
      <c r="C134" s="104"/>
      <c r="D134" s="104"/>
      <c r="E134" s="104"/>
      <c r="F134" s="38">
        <f>F50</f>
        <v>0</v>
      </c>
      <c r="G134" s="104" t="str">
        <f>G50</f>
        <v>lbs CO2e/dry ton for onsite storage</v>
      </c>
      <c r="H134" s="104"/>
      <c r="I134" s="104"/>
      <c r="J134" s="104"/>
    </row>
    <row r="135" spans="1:10" x14ac:dyDescent="0.3">
      <c r="A135" s="37">
        <f>A92</f>
        <v>2.6495000000000002</v>
      </c>
      <c r="B135" s="104" t="str">
        <f>B92</f>
        <v>lbs CO2e/dry ton for dewatering electricity</v>
      </c>
      <c r="C135" s="104"/>
      <c r="D135" s="104"/>
      <c r="E135" s="104"/>
      <c r="F135" s="38">
        <f>F81</f>
        <v>2.6495000000000002</v>
      </c>
      <c r="G135" s="104" t="str">
        <f>G81</f>
        <v>lbs CO2e/dry ton for dewatering electricity</v>
      </c>
      <c r="H135" s="104"/>
      <c r="I135" s="104"/>
      <c r="J135" s="104"/>
    </row>
    <row r="136" spans="1:10" ht="15" thickBot="1" x14ac:dyDescent="0.35">
      <c r="A136" s="37">
        <f>A121</f>
        <v>239.13043478260863</v>
      </c>
      <c r="B136" s="104" t="str">
        <f>B121</f>
        <v>lbs CO2e/dry ton for offsite biosolids hauling</v>
      </c>
      <c r="C136" s="104"/>
      <c r="D136" s="104"/>
      <c r="E136" s="104"/>
      <c r="F136" s="38">
        <f>F122</f>
        <v>35.714285714285708</v>
      </c>
      <c r="G136" s="104" t="str">
        <f>G122</f>
        <v>lbs CO2e/dry ton for offsite biosolids hauling</v>
      </c>
      <c r="H136" s="104"/>
      <c r="I136" s="104"/>
      <c r="J136" s="104"/>
    </row>
    <row r="137" spans="1:10" ht="15" thickBot="1" x14ac:dyDescent="0.35">
      <c r="A137" s="40">
        <f>SUM(A134:A136)</f>
        <v>241.77993478260862</v>
      </c>
      <c r="B137" s="41" t="s">
        <v>118</v>
      </c>
      <c r="C137" s="41"/>
      <c r="D137" s="41"/>
      <c r="E137" s="65"/>
      <c r="F137" s="38">
        <f>F128</f>
        <v>502.93733994271616</v>
      </c>
      <c r="G137" s="104" t="str">
        <f>G128</f>
        <v>lbs CO2e/dry ton for biodrying and pyrolysis</v>
      </c>
      <c r="H137" s="104"/>
      <c r="I137" s="104"/>
      <c r="J137" s="104"/>
    </row>
    <row r="138" spans="1:10" ht="15" thickBot="1" x14ac:dyDescent="0.35">
      <c r="A138" s="40">
        <f>A137/2204.6</f>
        <v>0.10967065897786837</v>
      </c>
      <c r="B138" s="41" t="s">
        <v>119</v>
      </c>
      <c r="C138" s="41"/>
      <c r="D138" s="41"/>
      <c r="E138" s="65"/>
      <c r="F138" s="64">
        <f>SUM(F134:F137)</f>
        <v>541.30112565700188</v>
      </c>
      <c r="G138" s="41" t="s">
        <v>118</v>
      </c>
      <c r="H138" s="41"/>
      <c r="I138" s="41"/>
      <c r="J138" s="42"/>
    </row>
    <row r="139" spans="1:10" ht="15" thickBot="1" x14ac:dyDescent="0.35">
      <c r="E139" s="6"/>
      <c r="F139" s="64">
        <f>F138/2204.6</f>
        <v>0.24553257990429189</v>
      </c>
      <c r="G139" s="41" t="s">
        <v>119</v>
      </c>
      <c r="H139" s="41"/>
      <c r="I139" s="41"/>
      <c r="J139" s="42"/>
    </row>
    <row r="140" spans="1:10" x14ac:dyDescent="0.3">
      <c r="E140" s="6"/>
    </row>
  </sheetData>
  <mergeCells count="21">
    <mergeCell ref="B135:E135"/>
    <mergeCell ref="G135:J135"/>
    <mergeCell ref="B136:E136"/>
    <mergeCell ref="G136:J136"/>
    <mergeCell ref="G137:J137"/>
    <mergeCell ref="B134:E134"/>
    <mergeCell ref="G134:J134"/>
    <mergeCell ref="A72:E73"/>
    <mergeCell ref="A81:D82"/>
    <mergeCell ref="A85:D85"/>
    <mergeCell ref="B92:E92"/>
    <mergeCell ref="G81:J81"/>
    <mergeCell ref="A114:E119"/>
    <mergeCell ref="F115:J120"/>
    <mergeCell ref="B121:E121"/>
    <mergeCell ref="G122:J122"/>
    <mergeCell ref="A13:I14"/>
    <mergeCell ref="A16:I21"/>
    <mergeCell ref="A23:I28"/>
    <mergeCell ref="A32:E32"/>
    <mergeCell ref="A48:E48"/>
  </mergeCells>
  <hyperlinks>
    <hyperlink ref="A89" r:id="rId1" display="https://sonomacleanpower.org/power-sources" xr:uid="{76F1F443-DBFF-40B4-89C4-AA04FB526A56}"/>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4A369-A6DC-47A3-AB53-BBC863E06340}">
  <dimension ref="A1:J177"/>
  <sheetViews>
    <sheetView topLeftCell="A38" zoomScaleNormal="100" workbookViewId="0">
      <selection activeCell="A133" sqref="A133:A135"/>
    </sheetView>
  </sheetViews>
  <sheetFormatPr defaultRowHeight="14.4" x14ac:dyDescent="0.3"/>
  <cols>
    <col min="10" max="10" width="8.6640625" customWidth="1"/>
  </cols>
  <sheetData>
    <row r="1" spans="1:10" ht="21" x14ac:dyDescent="0.4">
      <c r="A1" s="8" t="s">
        <v>0</v>
      </c>
      <c r="B1" s="9"/>
      <c r="C1" s="9"/>
      <c r="D1" s="9"/>
      <c r="E1" s="9"/>
      <c r="F1" s="9"/>
      <c r="G1" s="9"/>
      <c r="H1" s="9"/>
      <c r="I1" s="9"/>
      <c r="J1" s="9"/>
    </row>
    <row r="2" spans="1:10" ht="15.6" x14ac:dyDescent="0.3">
      <c r="A2" s="10" t="s">
        <v>158</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159</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122</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29" spans="1:10" x14ac:dyDescent="0.3">
      <c r="A29" s="11" t="s">
        <v>11</v>
      </c>
      <c r="B29" s="12"/>
      <c r="C29" s="12"/>
      <c r="D29" s="12"/>
      <c r="E29" s="14"/>
      <c r="F29" s="12"/>
      <c r="G29" s="12"/>
      <c r="H29" s="12"/>
      <c r="I29" s="12"/>
      <c r="J29" s="12"/>
    </row>
    <row r="30" spans="1:10" x14ac:dyDescent="0.3">
      <c r="E30" s="6"/>
    </row>
    <row r="31" spans="1:10" x14ac:dyDescent="0.3">
      <c r="A31" t="s">
        <v>12</v>
      </c>
      <c r="E31" s="6"/>
      <c r="F31" t="s">
        <v>13</v>
      </c>
    </row>
    <row r="32" spans="1:10" x14ac:dyDescent="0.3">
      <c r="A32" s="83" t="s">
        <v>160</v>
      </c>
      <c r="B32" s="83"/>
      <c r="C32" s="83"/>
      <c r="D32" s="83"/>
      <c r="E32" s="83"/>
      <c r="F32" t="s">
        <v>15</v>
      </c>
    </row>
    <row r="33" spans="1:10" x14ac:dyDescent="0.3">
      <c r="E33" s="6"/>
    </row>
    <row r="34" spans="1:10" x14ac:dyDescent="0.3">
      <c r="A34" s="11" t="s">
        <v>16</v>
      </c>
      <c r="B34" s="12"/>
      <c r="C34" s="12"/>
      <c r="D34" s="12"/>
      <c r="E34" s="14"/>
      <c r="F34" s="12"/>
      <c r="G34" s="12"/>
      <c r="H34" s="12"/>
      <c r="I34" s="12"/>
      <c r="J34" s="12"/>
    </row>
    <row r="35" spans="1:10" x14ac:dyDescent="0.3">
      <c r="E35" s="6"/>
    </row>
    <row r="36" spans="1:10" x14ac:dyDescent="0.3">
      <c r="A36" t="s">
        <v>12</v>
      </c>
      <c r="E36" s="6"/>
      <c r="F36" t="s">
        <v>13</v>
      </c>
    </row>
    <row r="37" spans="1:10" x14ac:dyDescent="0.3">
      <c r="A37">
        <v>2025</v>
      </c>
      <c r="B37" s="3">
        <v>3.2</v>
      </c>
      <c r="C37" t="s">
        <v>17</v>
      </c>
      <c r="E37" s="6"/>
      <c r="F37" t="s">
        <v>15</v>
      </c>
    </row>
    <row r="38" spans="1:10" x14ac:dyDescent="0.3">
      <c r="A38">
        <v>2030</v>
      </c>
      <c r="B38" s="3">
        <v>4.2</v>
      </c>
      <c r="C38" t="s">
        <v>17</v>
      </c>
      <c r="E38" s="6"/>
    </row>
    <row r="39" spans="1:10" x14ac:dyDescent="0.3">
      <c r="A39">
        <v>2035</v>
      </c>
      <c r="B39" s="3">
        <v>4.4000000000000004</v>
      </c>
      <c r="C39" t="s">
        <v>17</v>
      </c>
      <c r="E39" s="6"/>
    </row>
    <row r="40" spans="1:10" x14ac:dyDescent="0.3">
      <c r="A40">
        <v>2040</v>
      </c>
      <c r="B40" s="3">
        <v>4.5</v>
      </c>
      <c r="C40" t="s">
        <v>17</v>
      </c>
      <c r="E40" s="6"/>
    </row>
    <row r="41" spans="1:10" x14ac:dyDescent="0.3">
      <c r="A41">
        <v>2045</v>
      </c>
      <c r="B41" s="3">
        <v>4.5999999999999996</v>
      </c>
      <c r="C41" t="s">
        <v>17</v>
      </c>
      <c r="E41" s="6"/>
    </row>
    <row r="42" spans="1:10" x14ac:dyDescent="0.3">
      <c r="A42">
        <v>2050</v>
      </c>
      <c r="B42" s="3">
        <v>4.8</v>
      </c>
      <c r="C42" t="s">
        <v>17</v>
      </c>
      <c r="E42" s="6"/>
    </row>
    <row r="43" spans="1:10" x14ac:dyDescent="0.3">
      <c r="E43" s="6"/>
    </row>
    <row r="44" spans="1:10" x14ac:dyDescent="0.3">
      <c r="A44" s="11" t="s">
        <v>41</v>
      </c>
      <c r="B44" s="12"/>
      <c r="C44" s="12"/>
      <c r="D44" s="12"/>
      <c r="E44" s="14"/>
      <c r="F44" s="12"/>
      <c r="G44" s="12"/>
      <c r="H44" s="12"/>
      <c r="I44" s="12"/>
      <c r="J44" s="12"/>
    </row>
    <row r="45" spans="1:10" x14ac:dyDescent="0.3">
      <c r="E45" s="6"/>
    </row>
    <row r="46" spans="1:10" x14ac:dyDescent="0.3">
      <c r="A46" t="s">
        <v>12</v>
      </c>
      <c r="E46" s="6"/>
      <c r="F46" t="s">
        <v>13</v>
      </c>
    </row>
    <row r="47" spans="1:10" x14ac:dyDescent="0.3">
      <c r="E47" s="6"/>
      <c r="F47" t="s">
        <v>15</v>
      </c>
    </row>
    <row r="48" spans="1:10" ht="27.9" customHeight="1" x14ac:dyDescent="0.3">
      <c r="A48" s="66">
        <v>5.97</v>
      </c>
      <c r="B48" s="94" t="s">
        <v>161</v>
      </c>
      <c r="C48" s="81"/>
      <c r="D48" s="81"/>
      <c r="E48" s="82"/>
    </row>
    <row r="49" spans="1:10" ht="29.1" customHeight="1" x14ac:dyDescent="0.3">
      <c r="A49" s="66">
        <v>24</v>
      </c>
      <c r="B49" s="94" t="s">
        <v>162</v>
      </c>
      <c r="C49" s="81"/>
      <c r="D49" s="81"/>
      <c r="E49" s="82"/>
      <c r="F49" t="s">
        <v>62</v>
      </c>
    </row>
    <row r="50" spans="1:10" ht="30.6" customHeight="1" x14ac:dyDescent="0.3">
      <c r="A50" s="20" t="s">
        <v>127</v>
      </c>
      <c r="E50" s="6"/>
      <c r="F50" s="37">
        <f>A67</f>
        <v>4.6682125000000001</v>
      </c>
      <c r="G50" s="85" t="str">
        <f>B67</f>
        <v>lbs CO2e/dry ton for dewatering/thickening electricity</v>
      </c>
      <c r="H50" s="85"/>
      <c r="I50" s="85"/>
      <c r="J50" s="85"/>
    </row>
    <row r="51" spans="1:10" x14ac:dyDescent="0.3">
      <c r="E51" s="6"/>
    </row>
    <row r="52" spans="1:10" x14ac:dyDescent="0.3">
      <c r="A52" s="66">
        <v>7.46</v>
      </c>
      <c r="B52" s="94" t="s">
        <v>163</v>
      </c>
      <c r="C52" s="81"/>
      <c r="D52" s="81"/>
      <c r="E52" s="82"/>
    </row>
    <row r="53" spans="1:10" ht="27.9" customHeight="1" x14ac:dyDescent="0.3">
      <c r="A53" s="66">
        <v>9.4</v>
      </c>
      <c r="B53" s="94" t="s">
        <v>164</v>
      </c>
      <c r="C53" s="81"/>
      <c r="D53" s="81"/>
      <c r="E53" s="82"/>
    </row>
    <row r="54" spans="1:10" x14ac:dyDescent="0.3">
      <c r="A54" s="20" t="s">
        <v>127</v>
      </c>
      <c r="E54" s="6"/>
    </row>
    <row r="55" spans="1:10" x14ac:dyDescent="0.3">
      <c r="A55" s="20"/>
      <c r="E55" s="6"/>
    </row>
    <row r="56" spans="1:10" ht="29.1" customHeight="1" x14ac:dyDescent="0.3">
      <c r="A56" s="67">
        <f>(A48*A49)+(A52*A53)</f>
        <v>213.404</v>
      </c>
      <c r="B56" s="94" t="s">
        <v>165</v>
      </c>
      <c r="C56" s="81"/>
      <c r="D56" s="81"/>
      <c r="E56" s="82"/>
    </row>
    <row r="57" spans="1:10" x14ac:dyDescent="0.3">
      <c r="A57" s="50">
        <f>A56/$B$37</f>
        <v>66.688749999999999</v>
      </c>
      <c r="B57" t="s">
        <v>129</v>
      </c>
      <c r="E57" s="6"/>
    </row>
    <row r="58" spans="1:10" x14ac:dyDescent="0.3">
      <c r="E58" s="6"/>
    </row>
    <row r="59" spans="1:10" x14ac:dyDescent="0.3">
      <c r="A59" t="s">
        <v>57</v>
      </c>
      <c r="E59" s="6"/>
    </row>
    <row r="60" spans="1:10" x14ac:dyDescent="0.3">
      <c r="A60" s="88" t="s">
        <v>58</v>
      </c>
      <c r="B60" s="89"/>
      <c r="C60" s="89"/>
      <c r="D60" s="90"/>
      <c r="E60" s="6"/>
    </row>
    <row r="61" spans="1:10" ht="14.4" customHeight="1" x14ac:dyDescent="0.3">
      <c r="E61" s="6"/>
    </row>
    <row r="62" spans="1:10" x14ac:dyDescent="0.3">
      <c r="A62" t="s">
        <v>59</v>
      </c>
      <c r="E62" s="6"/>
    </row>
    <row r="63" spans="1:10" x14ac:dyDescent="0.3">
      <c r="A63" s="2">
        <v>70</v>
      </c>
      <c r="B63" t="s">
        <v>60</v>
      </c>
      <c r="E63" s="6"/>
    </row>
    <row r="64" spans="1:10" ht="14.4" customHeight="1" x14ac:dyDescent="0.3">
      <c r="A64" s="23" t="s">
        <v>61</v>
      </c>
      <c r="E64" s="6"/>
    </row>
    <row r="65" spans="1:10" x14ac:dyDescent="0.3">
      <c r="E65" s="6"/>
    </row>
    <row r="66" spans="1:10" x14ac:dyDescent="0.3">
      <c r="A66" t="s">
        <v>62</v>
      </c>
      <c r="E66" s="6"/>
    </row>
    <row r="67" spans="1:10" ht="30" customHeight="1" x14ac:dyDescent="0.3">
      <c r="A67" s="37">
        <f>A57*(A63/1000)</f>
        <v>4.6682125000000001</v>
      </c>
      <c r="B67" s="84" t="s">
        <v>64</v>
      </c>
      <c r="C67" s="85"/>
      <c r="D67" s="85"/>
      <c r="E67" s="95"/>
    </row>
    <row r="68" spans="1:10" x14ac:dyDescent="0.3">
      <c r="E68" s="6"/>
    </row>
    <row r="69" spans="1:10" x14ac:dyDescent="0.3">
      <c r="A69" s="11" t="s">
        <v>131</v>
      </c>
      <c r="B69" s="12"/>
      <c r="C69" s="12"/>
      <c r="D69" s="12"/>
      <c r="E69" s="14"/>
      <c r="F69" s="12"/>
      <c r="G69" s="12"/>
      <c r="H69" s="12"/>
      <c r="I69" s="12"/>
      <c r="J69" s="12"/>
    </row>
    <row r="70" spans="1:10" x14ac:dyDescent="0.3">
      <c r="E70" s="6"/>
    </row>
    <row r="71" spans="1:10" x14ac:dyDescent="0.3">
      <c r="A71" t="s">
        <v>12</v>
      </c>
      <c r="E71" s="6"/>
      <c r="F71" t="s">
        <v>13</v>
      </c>
    </row>
    <row r="72" spans="1:10" x14ac:dyDescent="0.3">
      <c r="E72" s="6"/>
      <c r="F72" s="81" t="s">
        <v>132</v>
      </c>
      <c r="G72" s="81"/>
      <c r="H72" s="81"/>
      <c r="I72" s="81"/>
      <c r="J72" s="81"/>
    </row>
    <row r="73" spans="1:10" x14ac:dyDescent="0.3">
      <c r="A73" t="s">
        <v>166</v>
      </c>
      <c r="E73" s="6"/>
      <c r="F73" s="81"/>
      <c r="G73" s="81"/>
      <c r="H73" s="81"/>
      <c r="I73" s="81"/>
      <c r="J73" s="81"/>
    </row>
    <row r="74" spans="1:10" x14ac:dyDescent="0.3">
      <c r="E74" s="6"/>
      <c r="F74" s="81"/>
      <c r="G74" s="81"/>
      <c r="H74" s="81"/>
      <c r="I74" s="81"/>
      <c r="J74" s="81"/>
    </row>
    <row r="75" spans="1:10" x14ac:dyDescent="0.3">
      <c r="A75" t="s">
        <v>90</v>
      </c>
      <c r="E75" s="6"/>
    </row>
    <row r="76" spans="1:10" x14ac:dyDescent="0.3">
      <c r="A76" s="28">
        <v>2613</v>
      </c>
      <c r="B76" t="s">
        <v>167</v>
      </c>
      <c r="E76" s="6"/>
      <c r="F76" t="s">
        <v>168</v>
      </c>
    </row>
    <row r="77" spans="1:10" x14ac:dyDescent="0.3">
      <c r="A77" s="20" t="s">
        <v>137</v>
      </c>
      <c r="E77" s="6"/>
      <c r="F77" t="s">
        <v>105</v>
      </c>
    </row>
    <row r="78" spans="1:10" x14ac:dyDescent="0.3">
      <c r="E78" s="6"/>
      <c r="F78" s="27">
        <f>A105</f>
        <v>59.934603104999979</v>
      </c>
      <c r="G78" t="str">
        <f>B105</f>
        <v>lbs CO2e/dry ton for chemical delivery</v>
      </c>
    </row>
    <row r="79" spans="1:10" x14ac:dyDescent="0.3">
      <c r="A79" t="s">
        <v>93</v>
      </c>
      <c r="E79" s="6"/>
    </row>
    <row r="80" spans="1:10" x14ac:dyDescent="0.3">
      <c r="E80" s="6"/>
    </row>
    <row r="81" spans="1:10" x14ac:dyDescent="0.3">
      <c r="A81" s="28">
        <v>0.7</v>
      </c>
      <c r="B81" t="s">
        <v>169</v>
      </c>
      <c r="E81" s="6"/>
    </row>
    <row r="82" spans="1:10" x14ac:dyDescent="0.3">
      <c r="A82" s="30">
        <v>1.1399999999999999</v>
      </c>
      <c r="B82" t="s">
        <v>139</v>
      </c>
      <c r="E82" s="6"/>
    </row>
    <row r="83" spans="1:10" x14ac:dyDescent="0.3">
      <c r="A83" s="34">
        <f>8.34*A82</f>
        <v>9.5075999999999983</v>
      </c>
      <c r="B83" t="s">
        <v>140</v>
      </c>
      <c r="E83" s="6"/>
    </row>
    <row r="84" spans="1:10" x14ac:dyDescent="0.3">
      <c r="A84" s="33">
        <f>A83*A81</f>
        <v>6.6553199999999988</v>
      </c>
      <c r="B84" t="s">
        <v>141</v>
      </c>
      <c r="E84" s="6"/>
    </row>
    <row r="85" spans="1:10" x14ac:dyDescent="0.3">
      <c r="E85" s="6"/>
    </row>
    <row r="86" spans="1:10" x14ac:dyDescent="0.3">
      <c r="A86" s="28">
        <v>12.81</v>
      </c>
      <c r="B86" t="s">
        <v>170</v>
      </c>
      <c r="E86" s="6"/>
    </row>
    <row r="87" spans="1:10" x14ac:dyDescent="0.3">
      <c r="A87" s="30">
        <v>1.1399999999999999</v>
      </c>
      <c r="B87" t="s">
        <v>139</v>
      </c>
      <c r="E87" s="6"/>
    </row>
    <row r="88" spans="1:10" x14ac:dyDescent="0.3">
      <c r="A88" s="34">
        <f>8.34*A87</f>
        <v>9.5075999999999983</v>
      </c>
      <c r="B88" t="s">
        <v>140</v>
      </c>
      <c r="E88" s="6"/>
    </row>
    <row r="89" spans="1:10" x14ac:dyDescent="0.3">
      <c r="A89" s="33">
        <f>A88*A86</f>
        <v>121.79235599999998</v>
      </c>
      <c r="B89" t="s">
        <v>141</v>
      </c>
      <c r="E89" s="6"/>
      <c r="F89" s="20"/>
      <c r="G89" s="20"/>
      <c r="H89" s="20"/>
      <c r="I89" s="20"/>
      <c r="J89" s="20"/>
    </row>
    <row r="90" spans="1:10" x14ac:dyDescent="0.3">
      <c r="E90" s="6"/>
    </row>
    <row r="91" spans="1:10" x14ac:dyDescent="0.3">
      <c r="A91" t="s">
        <v>86</v>
      </c>
      <c r="E91" s="6"/>
    </row>
    <row r="92" spans="1:10" x14ac:dyDescent="0.3">
      <c r="E92" s="6"/>
    </row>
    <row r="93" spans="1:10" x14ac:dyDescent="0.3">
      <c r="A93" s="34">
        <f>((A84+A89)/2000)*A76</f>
        <v>167.81688869399997</v>
      </c>
      <c r="B93" t="s">
        <v>171</v>
      </c>
      <c r="E93" s="6"/>
    </row>
    <row r="94" spans="1:10" x14ac:dyDescent="0.3">
      <c r="A94" s="51"/>
      <c r="B94" s="20"/>
      <c r="C94" s="20"/>
      <c r="D94" s="20"/>
      <c r="E94" s="52"/>
    </row>
    <row r="95" spans="1:10" x14ac:dyDescent="0.3">
      <c r="E95" s="6"/>
    </row>
    <row r="96" spans="1:10" x14ac:dyDescent="0.3">
      <c r="A96" s="30">
        <v>162</v>
      </c>
      <c r="B96" t="s">
        <v>102</v>
      </c>
      <c r="E96" s="6"/>
    </row>
    <row r="97" spans="1:10" x14ac:dyDescent="0.3">
      <c r="A97" s="33">
        <f>A96*(1/453.6)</f>
        <v>0.3571428571428571</v>
      </c>
      <c r="B97" t="s">
        <v>103</v>
      </c>
      <c r="E97" s="6"/>
    </row>
    <row r="98" spans="1:10" x14ac:dyDescent="0.3">
      <c r="A98" s="86" t="s">
        <v>104</v>
      </c>
      <c r="B98" s="86"/>
      <c r="C98" s="86"/>
      <c r="D98" s="86"/>
      <c r="E98" s="87"/>
    </row>
    <row r="99" spans="1:10" x14ac:dyDescent="0.3">
      <c r="A99" s="86"/>
      <c r="B99" s="86"/>
      <c r="C99" s="86"/>
      <c r="D99" s="86"/>
      <c r="E99" s="87"/>
    </row>
    <row r="100" spans="1:10" x14ac:dyDescent="0.3">
      <c r="A100" s="86"/>
      <c r="B100" s="86"/>
      <c r="C100" s="86"/>
      <c r="D100" s="86"/>
      <c r="E100" s="87"/>
    </row>
    <row r="101" spans="1:10" x14ac:dyDescent="0.3">
      <c r="A101" s="86"/>
      <c r="B101" s="86"/>
      <c r="C101" s="86"/>
      <c r="D101" s="86"/>
      <c r="E101" s="87"/>
    </row>
    <row r="102" spans="1:10" x14ac:dyDescent="0.3">
      <c r="A102" s="86"/>
      <c r="B102" s="86"/>
      <c r="C102" s="86"/>
      <c r="D102" s="86"/>
      <c r="E102" s="87"/>
    </row>
    <row r="103" spans="1:10" x14ac:dyDescent="0.3">
      <c r="A103" s="86"/>
      <c r="B103" s="86"/>
      <c r="C103" s="86"/>
      <c r="D103" s="86"/>
      <c r="E103" s="87"/>
    </row>
    <row r="104" spans="1:10" x14ac:dyDescent="0.3">
      <c r="A104" t="s">
        <v>105</v>
      </c>
      <c r="E104" s="6"/>
    </row>
    <row r="105" spans="1:10" x14ac:dyDescent="0.3">
      <c r="A105" s="27">
        <f>A97*A93</f>
        <v>59.934603104999979</v>
      </c>
      <c r="B105" t="s">
        <v>106</v>
      </c>
      <c r="E105" s="6"/>
    </row>
    <row r="106" spans="1:10" x14ac:dyDescent="0.3">
      <c r="E106" s="6"/>
    </row>
    <row r="107" spans="1:10" x14ac:dyDescent="0.3">
      <c r="A107" s="11" t="s">
        <v>172</v>
      </c>
      <c r="B107" s="12"/>
      <c r="C107" s="12"/>
      <c r="D107" s="12"/>
      <c r="E107" s="14"/>
      <c r="F107" s="12"/>
      <c r="G107" s="12"/>
      <c r="H107" s="12"/>
      <c r="I107" s="12"/>
      <c r="J107" s="12"/>
    </row>
    <row r="108" spans="1:10" x14ac:dyDescent="0.3">
      <c r="E108" s="6"/>
    </row>
    <row r="109" spans="1:10" x14ac:dyDescent="0.3">
      <c r="A109" t="s">
        <v>12</v>
      </c>
      <c r="E109" s="6"/>
      <c r="F109" t="s">
        <v>13</v>
      </c>
    </row>
    <row r="110" spans="1:10" x14ac:dyDescent="0.3">
      <c r="E110" s="6"/>
    </row>
    <row r="111" spans="1:10" x14ac:dyDescent="0.3">
      <c r="A111" s="3">
        <v>1300</v>
      </c>
      <c r="B111" t="s">
        <v>173</v>
      </c>
      <c r="E111" s="6"/>
      <c r="F111" t="s">
        <v>15</v>
      </c>
    </row>
    <row r="112" spans="1:10" x14ac:dyDescent="0.3">
      <c r="E112" s="6"/>
    </row>
    <row r="113" spans="1:10" ht="14.4" customHeight="1" x14ac:dyDescent="0.3">
      <c r="A113" s="21">
        <v>0.65</v>
      </c>
      <c r="B113" t="s">
        <v>174</v>
      </c>
      <c r="E113" s="6"/>
      <c r="F113" s="108">
        <f>A125</f>
        <v>52.079334693749999</v>
      </c>
      <c r="G113" s="81" t="str">
        <f>B125</f>
        <v>lbs CO2e/dry ton from digester fugitive emissions</v>
      </c>
      <c r="H113" s="81"/>
      <c r="I113" s="81"/>
      <c r="J113" s="81"/>
    </row>
    <row r="114" spans="1:10" x14ac:dyDescent="0.3">
      <c r="A114" s="13">
        <f>A111*A113</f>
        <v>845</v>
      </c>
      <c r="B114" t="s">
        <v>175</v>
      </c>
      <c r="E114" s="6"/>
      <c r="F114" s="109"/>
      <c r="G114" s="81"/>
      <c r="H114" s="81"/>
      <c r="I114" s="81"/>
      <c r="J114" s="81"/>
    </row>
    <row r="115" spans="1:10" x14ac:dyDescent="0.3">
      <c r="E115" s="6"/>
    </row>
    <row r="116" spans="1:10" x14ac:dyDescent="0.3">
      <c r="A116" s="21">
        <v>0.45</v>
      </c>
      <c r="B116" t="s">
        <v>176</v>
      </c>
      <c r="E116" s="6"/>
    </row>
    <row r="117" spans="1:10" x14ac:dyDescent="0.3">
      <c r="A117" s="21">
        <v>0.01</v>
      </c>
      <c r="B117" t="s">
        <v>177</v>
      </c>
      <c r="E117" s="6"/>
    </row>
    <row r="118" spans="1:10" x14ac:dyDescent="0.3">
      <c r="E118" s="6"/>
    </row>
    <row r="119" spans="1:10" x14ac:dyDescent="0.3">
      <c r="A119" s="2">
        <v>0.71</v>
      </c>
      <c r="B119" t="s">
        <v>178</v>
      </c>
      <c r="E119" s="6"/>
    </row>
    <row r="120" spans="1:10" x14ac:dyDescent="0.3">
      <c r="E120" s="6"/>
    </row>
    <row r="121" spans="1:10" x14ac:dyDescent="0.3">
      <c r="A121" s="2">
        <v>28</v>
      </c>
      <c r="B121" t="s">
        <v>179</v>
      </c>
      <c r="E121" s="6"/>
    </row>
    <row r="122" spans="1:10" x14ac:dyDescent="0.3">
      <c r="E122" s="6"/>
    </row>
    <row r="123" spans="1:10" x14ac:dyDescent="0.3">
      <c r="A123" s="18">
        <f>A114*A116*A117*A119*A121*2.2046</f>
        <v>166.65387102</v>
      </c>
      <c r="B123" t="s">
        <v>180</v>
      </c>
      <c r="E123" s="6"/>
    </row>
    <row r="124" spans="1:10" x14ac:dyDescent="0.3">
      <c r="E124" s="6"/>
    </row>
    <row r="125" spans="1:10" x14ac:dyDescent="0.3">
      <c r="A125" s="107">
        <f>A123/B37</f>
        <v>52.079334693749999</v>
      </c>
      <c r="B125" s="85" t="s">
        <v>181</v>
      </c>
      <c r="C125" s="85"/>
      <c r="D125" s="85"/>
      <c r="E125" s="95"/>
    </row>
    <row r="126" spans="1:10" x14ac:dyDescent="0.3">
      <c r="A126" s="107"/>
      <c r="B126" s="85"/>
      <c r="C126" s="85"/>
      <c r="D126" s="85"/>
      <c r="E126" s="95"/>
    </row>
    <row r="127" spans="1:10" x14ac:dyDescent="0.3">
      <c r="E127" s="6"/>
    </row>
    <row r="128" spans="1:10" x14ac:dyDescent="0.3">
      <c r="A128" s="11" t="s">
        <v>107</v>
      </c>
      <c r="B128" s="12"/>
      <c r="C128" s="12"/>
      <c r="D128" s="12"/>
      <c r="E128" s="14"/>
      <c r="F128" s="12"/>
      <c r="G128" s="12"/>
      <c r="H128" s="12"/>
      <c r="I128" s="12"/>
      <c r="J128" s="12"/>
    </row>
    <row r="129" spans="1:10" x14ac:dyDescent="0.3">
      <c r="E129" s="6"/>
    </row>
    <row r="130" spans="1:10" x14ac:dyDescent="0.3">
      <c r="A130" t="s">
        <v>12</v>
      </c>
      <c r="E130" s="6"/>
      <c r="F130" t="s">
        <v>13</v>
      </c>
    </row>
    <row r="131" spans="1:10" x14ac:dyDescent="0.3">
      <c r="E131" s="6"/>
    </row>
    <row r="132" spans="1:10" x14ac:dyDescent="0.3">
      <c r="A132" t="s">
        <v>108</v>
      </c>
      <c r="E132" s="6"/>
      <c r="F132" t="s">
        <v>108</v>
      </c>
      <c r="J132" s="6"/>
    </row>
    <row r="133" spans="1:10" x14ac:dyDescent="0.3">
      <c r="A133" s="3">
        <v>38</v>
      </c>
      <c r="B133" t="s">
        <v>182</v>
      </c>
      <c r="E133" s="6"/>
      <c r="F133" s="3">
        <v>29</v>
      </c>
      <c r="G133" t="s">
        <v>110</v>
      </c>
      <c r="J133" s="6"/>
    </row>
    <row r="134" spans="1:10" x14ac:dyDescent="0.3">
      <c r="A134" s="3">
        <v>49</v>
      </c>
      <c r="B134" t="s">
        <v>183</v>
      </c>
      <c r="F134" s="53"/>
    </row>
    <row r="135" spans="1:10" x14ac:dyDescent="0.3">
      <c r="A135" s="3">
        <v>109</v>
      </c>
      <c r="B135" t="s">
        <v>184</v>
      </c>
      <c r="E135" s="6"/>
      <c r="F135" s="20" t="s">
        <v>144</v>
      </c>
    </row>
    <row r="136" spans="1:10" x14ac:dyDescent="0.3">
      <c r="E136" s="6"/>
      <c r="J136" s="6"/>
    </row>
    <row r="137" spans="1:10" x14ac:dyDescent="0.3">
      <c r="A137" t="s">
        <v>111</v>
      </c>
      <c r="E137" s="6"/>
      <c r="F137" t="s">
        <v>111</v>
      </c>
      <c r="J137" s="6"/>
    </row>
    <row r="138" spans="1:10" x14ac:dyDescent="0.3">
      <c r="A138" s="35">
        <v>0.19</v>
      </c>
      <c r="E138" s="6"/>
      <c r="F138" s="63">
        <v>0.19</v>
      </c>
      <c r="J138" s="6"/>
    </row>
    <row r="139" spans="1:10" x14ac:dyDescent="0.3">
      <c r="E139" s="6"/>
      <c r="J139" s="6"/>
    </row>
    <row r="140" spans="1:10" x14ac:dyDescent="0.3">
      <c r="A140" t="s">
        <v>112</v>
      </c>
      <c r="E140" s="6"/>
      <c r="F140" t="s">
        <v>112</v>
      </c>
      <c r="J140" s="6"/>
    </row>
    <row r="141" spans="1:10" x14ac:dyDescent="0.3">
      <c r="A141" s="17">
        <f>1/A138</f>
        <v>5.2631578947368425</v>
      </c>
      <c r="B141" t="s">
        <v>113</v>
      </c>
      <c r="E141" s="6"/>
      <c r="F141" s="33">
        <f>1/F138</f>
        <v>5.2631578947368425</v>
      </c>
      <c r="G141" t="s">
        <v>113</v>
      </c>
      <c r="J141" s="6"/>
    </row>
    <row r="142" spans="1:10" x14ac:dyDescent="0.3">
      <c r="E142" s="6"/>
      <c r="J142" s="6"/>
    </row>
    <row r="143" spans="1:10" x14ac:dyDescent="0.3">
      <c r="A143" t="s">
        <v>86</v>
      </c>
      <c r="E143" s="6"/>
      <c r="F143" t="s">
        <v>86</v>
      </c>
      <c r="J143" s="6"/>
    </row>
    <row r="144" spans="1:10" x14ac:dyDescent="0.3">
      <c r="E144" s="6"/>
      <c r="J144" s="6"/>
    </row>
    <row r="145" spans="1:10" x14ac:dyDescent="0.3">
      <c r="A145" s="29">
        <f>A141*AVERAGE(A133:A135)</f>
        <v>343.85964912280701</v>
      </c>
      <c r="B145" t="s">
        <v>114</v>
      </c>
      <c r="E145" s="6"/>
      <c r="F145" s="29">
        <f>F141*AVERAGE(F133:F135)</f>
        <v>152.63157894736844</v>
      </c>
      <c r="G145" t="s">
        <v>114</v>
      </c>
      <c r="J145" s="6"/>
    </row>
    <row r="146" spans="1:10" x14ac:dyDescent="0.3">
      <c r="A146" s="20" t="s">
        <v>145</v>
      </c>
      <c r="E146" s="6"/>
      <c r="F146" s="20" t="s">
        <v>145</v>
      </c>
      <c r="J146" s="6"/>
    </row>
    <row r="147" spans="1:10" x14ac:dyDescent="0.3">
      <c r="A147" s="20"/>
      <c r="E147" s="6"/>
      <c r="F147" s="20"/>
      <c r="J147" s="6"/>
    </row>
    <row r="148" spans="1:10" x14ac:dyDescent="0.3">
      <c r="A148" s="30">
        <v>162</v>
      </c>
      <c r="B148" t="s">
        <v>102</v>
      </c>
      <c r="E148" s="6"/>
      <c r="F148" s="30">
        <v>162</v>
      </c>
      <c r="G148" t="s">
        <v>102</v>
      </c>
      <c r="J148" s="6"/>
    </row>
    <row r="149" spans="1:10" x14ac:dyDescent="0.3">
      <c r="A149" s="33">
        <f>A148*(1/453.6)</f>
        <v>0.3571428571428571</v>
      </c>
      <c r="B149" t="s">
        <v>103</v>
      </c>
      <c r="E149" s="6"/>
      <c r="F149" s="33">
        <f>F148*(1/453.6)</f>
        <v>0.3571428571428571</v>
      </c>
      <c r="G149" t="s">
        <v>103</v>
      </c>
      <c r="J149" s="6"/>
    </row>
    <row r="150" spans="1:10" x14ac:dyDescent="0.3">
      <c r="A150" s="86" t="s">
        <v>104</v>
      </c>
      <c r="B150" s="86"/>
      <c r="C150" s="86"/>
      <c r="D150" s="86"/>
      <c r="E150" s="87"/>
      <c r="F150" s="86" t="s">
        <v>104</v>
      </c>
      <c r="G150" s="86"/>
      <c r="H150" s="86"/>
      <c r="I150" s="86"/>
      <c r="J150" s="87"/>
    </row>
    <row r="151" spans="1:10" x14ac:dyDescent="0.3">
      <c r="A151" s="86"/>
      <c r="B151" s="86"/>
      <c r="C151" s="86"/>
      <c r="D151" s="86"/>
      <c r="E151" s="87"/>
      <c r="F151" s="86"/>
      <c r="G151" s="86"/>
      <c r="H151" s="86"/>
      <c r="I151" s="86"/>
      <c r="J151" s="87"/>
    </row>
    <row r="152" spans="1:10" x14ac:dyDescent="0.3">
      <c r="A152" s="86"/>
      <c r="B152" s="86"/>
      <c r="C152" s="86"/>
      <c r="D152" s="86"/>
      <c r="E152" s="87"/>
      <c r="F152" s="86"/>
      <c r="G152" s="86"/>
      <c r="H152" s="86"/>
      <c r="I152" s="86"/>
      <c r="J152" s="87"/>
    </row>
    <row r="153" spans="1:10" x14ac:dyDescent="0.3">
      <c r="A153" s="86"/>
      <c r="B153" s="86"/>
      <c r="C153" s="86"/>
      <c r="D153" s="86"/>
      <c r="E153" s="87"/>
      <c r="F153" s="86"/>
      <c r="G153" s="86"/>
      <c r="H153" s="86"/>
      <c r="I153" s="86"/>
      <c r="J153" s="87"/>
    </row>
    <row r="154" spans="1:10" x14ac:dyDescent="0.3">
      <c r="A154" s="86"/>
      <c r="B154" s="86"/>
      <c r="C154" s="86"/>
      <c r="D154" s="86"/>
      <c r="E154" s="87"/>
      <c r="F154" s="86"/>
      <c r="G154" s="86"/>
      <c r="H154" s="86"/>
      <c r="I154" s="86"/>
      <c r="J154" s="87"/>
    </row>
    <row r="155" spans="1:10" x14ac:dyDescent="0.3">
      <c r="A155" s="86"/>
      <c r="B155" s="86"/>
      <c r="C155" s="86"/>
      <c r="D155" s="86"/>
      <c r="E155" s="87"/>
      <c r="F155" s="86"/>
      <c r="G155" s="86"/>
      <c r="H155" s="86"/>
      <c r="I155" s="86"/>
      <c r="J155" s="87"/>
    </row>
    <row r="156" spans="1:10" x14ac:dyDescent="0.3">
      <c r="A156" t="s">
        <v>115</v>
      </c>
      <c r="E156" s="6"/>
      <c r="F156" t="s">
        <v>115</v>
      </c>
      <c r="J156" s="6"/>
    </row>
    <row r="157" spans="1:10" x14ac:dyDescent="0.3">
      <c r="A157" s="38">
        <f>A149*A145</f>
        <v>122.80701754385963</v>
      </c>
      <c r="B157" s="84" t="s">
        <v>116</v>
      </c>
      <c r="C157" s="85"/>
      <c r="D157" s="85"/>
      <c r="E157" s="95"/>
      <c r="F157" s="38">
        <f>F149*F145</f>
        <v>54.511278195488721</v>
      </c>
      <c r="G157" s="84" t="s">
        <v>116</v>
      </c>
      <c r="H157" s="85"/>
      <c r="I157" s="85"/>
      <c r="J157" s="95"/>
    </row>
    <row r="158" spans="1:10" x14ac:dyDescent="0.3">
      <c r="E158" s="6"/>
      <c r="F158" s="69"/>
      <c r="G158" s="5"/>
      <c r="H158" s="5"/>
      <c r="I158" s="5"/>
      <c r="J158" s="5"/>
    </row>
    <row r="159" spans="1:10" x14ac:dyDescent="0.3">
      <c r="E159" s="6"/>
    </row>
    <row r="160" spans="1:10" x14ac:dyDescent="0.3">
      <c r="A160" s="11" t="s">
        <v>146</v>
      </c>
      <c r="B160" s="12"/>
      <c r="C160" s="12"/>
      <c r="D160" s="12"/>
      <c r="E160" s="14"/>
      <c r="F160" s="12"/>
      <c r="G160" s="12"/>
      <c r="H160" s="12"/>
      <c r="I160" s="12"/>
      <c r="J160" s="12"/>
    </row>
    <row r="161" spans="1:10" x14ac:dyDescent="0.3">
      <c r="E161" s="6"/>
    </row>
    <row r="162" spans="1:10" x14ac:dyDescent="0.3">
      <c r="A162" t="s">
        <v>12</v>
      </c>
      <c r="E162" s="6"/>
      <c r="F162" t="s">
        <v>13</v>
      </c>
    </row>
    <row r="163" spans="1:10" x14ac:dyDescent="0.3">
      <c r="E163" s="6"/>
    </row>
    <row r="164" spans="1:10" x14ac:dyDescent="0.3">
      <c r="A164" t="s">
        <v>66</v>
      </c>
      <c r="E164" s="6"/>
      <c r="F164" s="38">
        <f>SUM('Windsor Inventory'!$F$267:$F$270)</f>
        <v>502.93733994271616</v>
      </c>
      <c r="G164" t="s">
        <v>147</v>
      </c>
    </row>
    <row r="165" spans="1:10" x14ac:dyDescent="0.3">
      <c r="E165" s="6"/>
    </row>
    <row r="166" spans="1:10" x14ac:dyDescent="0.3">
      <c r="E166" s="6"/>
    </row>
    <row r="167" spans="1:10" x14ac:dyDescent="0.3">
      <c r="A167" s="11" t="s">
        <v>117</v>
      </c>
      <c r="B167" s="12"/>
      <c r="C167" s="12"/>
      <c r="D167" s="12"/>
      <c r="E167" s="14"/>
      <c r="F167" s="12"/>
      <c r="G167" s="12"/>
      <c r="H167" s="12"/>
      <c r="I167" s="12"/>
      <c r="J167" s="12"/>
    </row>
    <row r="168" spans="1:10" x14ac:dyDescent="0.3">
      <c r="E168" s="6"/>
    </row>
    <row r="169" spans="1:10" x14ac:dyDescent="0.3">
      <c r="A169" t="s">
        <v>12</v>
      </c>
      <c r="E169" s="6"/>
      <c r="F169" t="s">
        <v>13</v>
      </c>
    </row>
    <row r="170" spans="1:10" ht="26.1" customHeight="1" x14ac:dyDescent="0.3">
      <c r="A170" s="37">
        <f>A67</f>
        <v>4.6682125000000001</v>
      </c>
      <c r="B170" s="104" t="str">
        <f>B67</f>
        <v>lbs CO2e/dry ton for dewatering/thickening electricity</v>
      </c>
      <c r="C170" s="104"/>
      <c r="D170" s="104"/>
      <c r="E170" s="104"/>
      <c r="F170" s="38">
        <f>F50</f>
        <v>4.6682125000000001</v>
      </c>
      <c r="G170" s="104" t="str">
        <f>G50</f>
        <v>lbs CO2e/dry ton for dewatering/thickening electricity</v>
      </c>
      <c r="H170" s="104"/>
      <c r="I170" s="104"/>
      <c r="J170" s="104"/>
    </row>
    <row r="171" spans="1:10" ht="18" customHeight="1" x14ac:dyDescent="0.3">
      <c r="A171" s="37">
        <f>A105</f>
        <v>59.934603104999979</v>
      </c>
      <c r="B171" s="104" t="str">
        <f>B105</f>
        <v>lbs CO2e/dry ton for chemical delivery</v>
      </c>
      <c r="C171" s="104"/>
      <c r="D171" s="104"/>
      <c r="E171" s="104"/>
      <c r="F171" s="38">
        <f>F78</f>
        <v>59.934603104999979</v>
      </c>
      <c r="G171" s="104" t="str">
        <f>G78</f>
        <v>lbs CO2e/dry ton for chemical delivery</v>
      </c>
      <c r="H171" s="104"/>
      <c r="I171" s="104"/>
      <c r="J171" s="104"/>
    </row>
    <row r="172" spans="1:10" ht="27" customHeight="1" x14ac:dyDescent="0.3">
      <c r="A172" s="37">
        <f>A125</f>
        <v>52.079334693749999</v>
      </c>
      <c r="B172" s="104" t="str">
        <f>B125</f>
        <v>lbs CO2e/dry ton from digester fugitive emissions</v>
      </c>
      <c r="C172" s="104"/>
      <c r="D172" s="104"/>
      <c r="E172" s="104"/>
      <c r="F172" s="38">
        <f>F113</f>
        <v>52.079334693749999</v>
      </c>
      <c r="G172" s="104" t="str">
        <f>G113</f>
        <v>lbs CO2e/dry ton from digester fugitive emissions</v>
      </c>
      <c r="H172" s="104"/>
      <c r="I172" s="104"/>
      <c r="J172" s="104"/>
    </row>
    <row r="173" spans="1:10" ht="30.6" customHeight="1" x14ac:dyDescent="0.3">
      <c r="A173" s="37">
        <f>A157</f>
        <v>122.80701754385963</v>
      </c>
      <c r="B173" s="110" t="str">
        <f>B157</f>
        <v>lbs CO2e/dry ton for offsite biosolids hauling</v>
      </c>
      <c r="C173" s="110"/>
      <c r="D173" s="110"/>
      <c r="E173" s="110"/>
      <c r="F173" s="38">
        <f>F157</f>
        <v>54.511278195488721</v>
      </c>
      <c r="G173" s="104" t="str">
        <f>G157</f>
        <v>lbs CO2e/dry ton for offsite biosolids hauling</v>
      </c>
      <c r="H173" s="104"/>
      <c r="I173" s="104"/>
      <c r="J173" s="104"/>
    </row>
    <row r="174" spans="1:10" ht="32.1" customHeight="1" thickBot="1" x14ac:dyDescent="0.35">
      <c r="A174" s="70">
        <f>SUM(A170:A173)</f>
        <v>239.48916784260962</v>
      </c>
      <c r="B174" s="71" t="s">
        <v>118</v>
      </c>
      <c r="C174" s="71"/>
      <c r="D174" s="71"/>
      <c r="E174" s="72"/>
      <c r="F174" s="68">
        <f>F164</f>
        <v>502.93733994271616</v>
      </c>
      <c r="G174" s="111" t="str">
        <f>G164</f>
        <v>lbs CO2e/dry ton for biodrying and pyrolysis</v>
      </c>
      <c r="H174" s="111"/>
      <c r="I174" s="111"/>
      <c r="J174" s="111"/>
    </row>
    <row r="175" spans="1:10" ht="15" thickBot="1" x14ac:dyDescent="0.35">
      <c r="A175" s="40">
        <f>A174/2204.6</f>
        <v>0.10863157391028287</v>
      </c>
      <c r="B175" s="41" t="s">
        <v>119</v>
      </c>
      <c r="C175" s="41"/>
      <c r="D175" s="41"/>
      <c r="E175" s="65"/>
      <c r="F175" s="64">
        <f>SUM(F170:F174)</f>
        <v>674.1307684369549</v>
      </c>
      <c r="G175" s="41" t="s">
        <v>118</v>
      </c>
      <c r="H175" s="41"/>
      <c r="I175" s="41"/>
      <c r="J175" s="42"/>
    </row>
    <row r="176" spans="1:10" ht="15" thickBot="1" x14ac:dyDescent="0.35">
      <c r="E176" s="6"/>
      <c r="F176" s="64">
        <f>F175/2204.6</f>
        <v>0.30578371062186105</v>
      </c>
      <c r="G176" s="41" t="s">
        <v>119</v>
      </c>
      <c r="H176" s="41"/>
      <c r="I176" s="41"/>
      <c r="J176" s="42"/>
    </row>
    <row r="177" spans="5:5" x14ac:dyDescent="0.3">
      <c r="E177" s="6"/>
    </row>
  </sheetData>
  <mergeCells count="31">
    <mergeCell ref="B172:E172"/>
    <mergeCell ref="G172:J172"/>
    <mergeCell ref="G173:J173"/>
    <mergeCell ref="B173:E173"/>
    <mergeCell ref="G174:J174"/>
    <mergeCell ref="B157:E157"/>
    <mergeCell ref="G157:J157"/>
    <mergeCell ref="B170:E170"/>
    <mergeCell ref="G170:J170"/>
    <mergeCell ref="B171:E171"/>
    <mergeCell ref="G171:J171"/>
    <mergeCell ref="B125:E126"/>
    <mergeCell ref="A125:A126"/>
    <mergeCell ref="G113:J114"/>
    <mergeCell ref="F113:F114"/>
    <mergeCell ref="A150:E155"/>
    <mergeCell ref="F150:J155"/>
    <mergeCell ref="F72:J74"/>
    <mergeCell ref="A98:E103"/>
    <mergeCell ref="B48:E48"/>
    <mergeCell ref="B49:E49"/>
    <mergeCell ref="B52:E52"/>
    <mergeCell ref="B53:E53"/>
    <mergeCell ref="B56:E56"/>
    <mergeCell ref="A60:D60"/>
    <mergeCell ref="B67:E67"/>
    <mergeCell ref="A13:I14"/>
    <mergeCell ref="A16:I21"/>
    <mergeCell ref="A23:I28"/>
    <mergeCell ref="A32:E32"/>
    <mergeCell ref="G50:J50"/>
  </mergeCells>
  <hyperlinks>
    <hyperlink ref="A64" r:id="rId1" display="https://sonomacleanpower.org/power-sources" xr:uid="{DC3D7A52-CC66-43BA-9AC4-D935283918F4}"/>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5C0D7-EA33-4EC4-973C-4CC823EFA217}">
  <dimension ref="A1:J152"/>
  <sheetViews>
    <sheetView tabSelected="1" topLeftCell="A66" workbookViewId="0">
      <selection activeCell="C70" sqref="C70"/>
    </sheetView>
  </sheetViews>
  <sheetFormatPr defaultRowHeight="14.4" x14ac:dyDescent="0.3"/>
  <sheetData>
    <row r="1" spans="1:10" ht="21" x14ac:dyDescent="0.4">
      <c r="A1" s="8" t="s">
        <v>0</v>
      </c>
      <c r="B1" s="9"/>
      <c r="C1" s="9"/>
      <c r="D1" s="9"/>
      <c r="E1" s="9"/>
      <c r="F1" s="9"/>
      <c r="G1" s="9"/>
      <c r="H1" s="9"/>
      <c r="I1" s="9"/>
      <c r="J1" s="9"/>
    </row>
    <row r="2" spans="1:10" ht="15.6" x14ac:dyDescent="0.3">
      <c r="A2" s="10" t="s">
        <v>185</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186</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122</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29" spans="1:10" x14ac:dyDescent="0.3">
      <c r="A29" s="11" t="s">
        <v>11</v>
      </c>
      <c r="B29" s="12"/>
      <c r="C29" s="12"/>
      <c r="D29" s="12"/>
      <c r="E29" s="14"/>
      <c r="F29" s="12"/>
      <c r="G29" s="12"/>
      <c r="H29" s="12"/>
      <c r="I29" s="12"/>
      <c r="J29" s="12"/>
    </row>
    <row r="30" spans="1:10" x14ac:dyDescent="0.3">
      <c r="E30" s="6"/>
    </row>
    <row r="31" spans="1:10" x14ac:dyDescent="0.3">
      <c r="A31" t="s">
        <v>12</v>
      </c>
      <c r="E31" s="6"/>
      <c r="F31" t="s">
        <v>13</v>
      </c>
    </row>
    <row r="32" spans="1:10" x14ac:dyDescent="0.3">
      <c r="A32" s="83" t="s">
        <v>187</v>
      </c>
      <c r="B32" s="83"/>
      <c r="C32" s="83"/>
      <c r="D32" s="83"/>
      <c r="E32" s="83"/>
      <c r="F32" t="s">
        <v>15</v>
      </c>
    </row>
    <row r="33" spans="1:10" x14ac:dyDescent="0.3">
      <c r="E33" s="6"/>
    </row>
    <row r="34" spans="1:10" x14ac:dyDescent="0.3">
      <c r="A34" s="11" t="s">
        <v>16</v>
      </c>
      <c r="B34" s="12"/>
      <c r="C34" s="12"/>
      <c r="D34" s="12"/>
      <c r="E34" s="14"/>
      <c r="F34" s="12"/>
      <c r="G34" s="12"/>
      <c r="H34" s="12"/>
      <c r="I34" s="12"/>
      <c r="J34" s="12"/>
    </row>
    <row r="35" spans="1:10" x14ac:dyDescent="0.3">
      <c r="E35" s="6"/>
    </row>
    <row r="36" spans="1:10" x14ac:dyDescent="0.3">
      <c r="A36" t="s">
        <v>12</v>
      </c>
      <c r="E36" s="6"/>
      <c r="F36" t="s">
        <v>13</v>
      </c>
    </row>
    <row r="37" spans="1:10" x14ac:dyDescent="0.3">
      <c r="A37">
        <v>2025</v>
      </c>
      <c r="B37" s="7">
        <f>0.21*147*(1/365)</f>
        <v>8.457534246575342E-2</v>
      </c>
      <c r="C37" t="s">
        <v>17</v>
      </c>
      <c r="E37" s="6"/>
      <c r="F37" t="s">
        <v>15</v>
      </c>
    </row>
    <row r="38" spans="1:10" x14ac:dyDescent="0.3">
      <c r="A38">
        <v>2030</v>
      </c>
      <c r="B38" s="7">
        <f t="shared" ref="B38:B42" si="0">0.21*147*(1/365)</f>
        <v>8.457534246575342E-2</v>
      </c>
      <c r="C38" t="s">
        <v>17</v>
      </c>
      <c r="E38" s="6"/>
    </row>
    <row r="39" spans="1:10" x14ac:dyDescent="0.3">
      <c r="A39">
        <v>2035</v>
      </c>
      <c r="B39" s="7">
        <f t="shared" si="0"/>
        <v>8.457534246575342E-2</v>
      </c>
      <c r="C39" t="s">
        <v>17</v>
      </c>
      <c r="E39" s="6"/>
    </row>
    <row r="40" spans="1:10" x14ac:dyDescent="0.3">
      <c r="A40">
        <v>2040</v>
      </c>
      <c r="B40" s="7">
        <f t="shared" si="0"/>
        <v>8.457534246575342E-2</v>
      </c>
      <c r="C40" t="s">
        <v>17</v>
      </c>
      <c r="E40" s="6"/>
    </row>
    <row r="41" spans="1:10" x14ac:dyDescent="0.3">
      <c r="A41">
        <v>2045</v>
      </c>
      <c r="B41" s="7">
        <f t="shared" si="0"/>
        <v>8.457534246575342E-2</v>
      </c>
      <c r="C41" t="s">
        <v>17</v>
      </c>
      <c r="E41" s="6"/>
    </row>
    <row r="42" spans="1:10" x14ac:dyDescent="0.3">
      <c r="A42">
        <v>2050</v>
      </c>
      <c r="B42" s="7">
        <f t="shared" si="0"/>
        <v>8.457534246575342E-2</v>
      </c>
      <c r="C42" t="s">
        <v>17</v>
      </c>
      <c r="E42" s="6"/>
    </row>
    <row r="43" spans="1:10" x14ac:dyDescent="0.3">
      <c r="E43" s="6"/>
    </row>
    <row r="44" spans="1:10" ht="44.4" customHeight="1" x14ac:dyDescent="0.3">
      <c r="A44" s="86" t="s">
        <v>188</v>
      </c>
      <c r="B44" s="86"/>
      <c r="C44" s="86"/>
      <c r="D44" s="86"/>
      <c r="E44" s="87"/>
    </row>
    <row r="45" spans="1:10" x14ac:dyDescent="0.3">
      <c r="E45" s="6"/>
    </row>
    <row r="46" spans="1:10" x14ac:dyDescent="0.3">
      <c r="A46" s="11" t="s">
        <v>41</v>
      </c>
      <c r="B46" s="12"/>
      <c r="C46" s="12"/>
      <c r="D46" s="12"/>
      <c r="E46" s="14"/>
      <c r="F46" s="12"/>
      <c r="G46" s="12"/>
      <c r="H46" s="12"/>
      <c r="I46" s="12"/>
      <c r="J46" s="12"/>
    </row>
    <row r="47" spans="1:10" x14ac:dyDescent="0.3">
      <c r="E47" s="6"/>
    </row>
    <row r="48" spans="1:10" x14ac:dyDescent="0.3">
      <c r="A48" t="s">
        <v>12</v>
      </c>
      <c r="E48" s="6"/>
      <c r="F48" t="s">
        <v>13</v>
      </c>
    </row>
    <row r="49" spans="1:10" x14ac:dyDescent="0.3">
      <c r="A49" s="20"/>
      <c r="E49" s="6"/>
      <c r="F49" t="s">
        <v>15</v>
      </c>
    </row>
    <row r="50" spans="1:10" x14ac:dyDescent="0.3">
      <c r="A50" s="118">
        <v>51.393500000000003</v>
      </c>
      <c r="B50" t="s">
        <v>129</v>
      </c>
      <c r="E50" s="6"/>
    </row>
    <row r="51" spans="1:10" ht="28.2" customHeight="1" x14ac:dyDescent="0.3">
      <c r="A51" s="105" t="s">
        <v>222</v>
      </c>
      <c r="B51" s="105"/>
      <c r="C51" s="105"/>
      <c r="D51" s="105"/>
      <c r="E51" s="106"/>
      <c r="F51" t="s">
        <v>62</v>
      </c>
    </row>
    <row r="52" spans="1:10" x14ac:dyDescent="0.3">
      <c r="E52" s="6"/>
      <c r="F52" s="37">
        <f>A61</f>
        <v>3.5975450000000007</v>
      </c>
      <c r="G52" s="85" t="str">
        <f>B61</f>
        <v>lbs CO2e/dry ton for dewatering/thickening electricity</v>
      </c>
      <c r="H52" s="85"/>
      <c r="I52" s="85"/>
      <c r="J52" s="85"/>
    </row>
    <row r="53" spans="1:10" x14ac:dyDescent="0.3">
      <c r="A53" t="s">
        <v>57</v>
      </c>
      <c r="E53" s="6"/>
    </row>
    <row r="54" spans="1:10" x14ac:dyDescent="0.3">
      <c r="A54" s="88" t="s">
        <v>58</v>
      </c>
      <c r="B54" s="89"/>
      <c r="C54" s="89"/>
      <c r="D54" s="90"/>
      <c r="E54" s="6"/>
    </row>
    <row r="55" spans="1:10" x14ac:dyDescent="0.3">
      <c r="E55" s="6"/>
    </row>
    <row r="56" spans="1:10" x14ac:dyDescent="0.3">
      <c r="A56" t="s">
        <v>59</v>
      </c>
      <c r="E56" s="6"/>
    </row>
    <row r="57" spans="1:10" x14ac:dyDescent="0.3">
      <c r="A57" s="2">
        <v>70</v>
      </c>
      <c r="B57" t="s">
        <v>60</v>
      </c>
      <c r="E57" s="6"/>
    </row>
    <row r="58" spans="1:10" ht="29.4" customHeight="1" x14ac:dyDescent="0.3">
      <c r="A58" s="23" t="s">
        <v>61</v>
      </c>
      <c r="E58" s="6"/>
    </row>
    <row r="59" spans="1:10" x14ac:dyDescent="0.3">
      <c r="E59" s="6"/>
    </row>
    <row r="60" spans="1:10" x14ac:dyDescent="0.3">
      <c r="A60" t="s">
        <v>62</v>
      </c>
      <c r="E60" s="6"/>
    </row>
    <row r="61" spans="1:10" x14ac:dyDescent="0.3">
      <c r="A61" s="37">
        <f>A50*(A57/1000)</f>
        <v>3.5975450000000007</v>
      </c>
      <c r="B61" s="84" t="s">
        <v>64</v>
      </c>
      <c r="C61" s="85"/>
      <c r="D61" s="85"/>
      <c r="E61" s="95"/>
    </row>
    <row r="62" spans="1:10" x14ac:dyDescent="0.3">
      <c r="E62" s="6"/>
    </row>
    <row r="63" spans="1:10" x14ac:dyDescent="0.3">
      <c r="A63" s="11" t="s">
        <v>131</v>
      </c>
      <c r="B63" s="12"/>
      <c r="C63" s="12"/>
      <c r="D63" s="12"/>
      <c r="E63" s="14"/>
    </row>
    <row r="64" spans="1:10" x14ac:dyDescent="0.3">
      <c r="E64" s="6"/>
    </row>
    <row r="65" spans="1:10" x14ac:dyDescent="0.3">
      <c r="A65" t="s">
        <v>12</v>
      </c>
      <c r="E65" s="6"/>
    </row>
    <row r="66" spans="1:10" x14ac:dyDescent="0.3">
      <c r="E66" s="6"/>
    </row>
    <row r="67" spans="1:10" x14ac:dyDescent="0.3">
      <c r="A67" t="s">
        <v>166</v>
      </c>
      <c r="E67" s="6"/>
    </row>
    <row r="68" spans="1:10" x14ac:dyDescent="0.3">
      <c r="E68" s="6"/>
    </row>
    <row r="69" spans="1:10" x14ac:dyDescent="0.3">
      <c r="A69" t="s">
        <v>90</v>
      </c>
      <c r="E69" s="6"/>
    </row>
    <row r="70" spans="1:10" x14ac:dyDescent="0.3">
      <c r="A70" s="28">
        <v>439</v>
      </c>
      <c r="B70" t="s">
        <v>189</v>
      </c>
      <c r="E70" s="6"/>
    </row>
    <row r="71" spans="1:10" x14ac:dyDescent="0.3">
      <c r="A71" s="20"/>
      <c r="E71" s="6"/>
      <c r="F71" s="12"/>
      <c r="G71" s="12"/>
      <c r="H71" s="12"/>
      <c r="I71" s="12"/>
      <c r="J71" s="12"/>
    </row>
    <row r="72" spans="1:10" x14ac:dyDescent="0.3">
      <c r="E72" s="6"/>
    </row>
    <row r="73" spans="1:10" x14ac:dyDescent="0.3">
      <c r="A73" t="s">
        <v>93</v>
      </c>
      <c r="E73" s="6"/>
      <c r="F73" t="s">
        <v>13</v>
      </c>
    </row>
    <row r="74" spans="1:10" x14ac:dyDescent="0.3">
      <c r="E74" s="6"/>
      <c r="F74" s="81" t="s">
        <v>132</v>
      </c>
      <c r="G74" s="81"/>
      <c r="H74" s="81"/>
      <c r="I74" s="81"/>
      <c r="J74" s="81"/>
    </row>
    <row r="75" spans="1:10" x14ac:dyDescent="0.3">
      <c r="A75" s="118">
        <v>0.86667000000000005</v>
      </c>
      <c r="B75" t="s">
        <v>169</v>
      </c>
      <c r="E75" s="6"/>
      <c r="F75" s="81"/>
      <c r="G75" s="81"/>
      <c r="H75" s="81"/>
      <c r="I75" s="81"/>
      <c r="J75" s="81"/>
    </row>
    <row r="76" spans="1:10" x14ac:dyDescent="0.3">
      <c r="A76" s="30">
        <v>1.1399999999999999</v>
      </c>
      <c r="B76" t="s">
        <v>139</v>
      </c>
      <c r="E76" s="6"/>
      <c r="F76" s="81"/>
      <c r="G76" s="81"/>
      <c r="H76" s="81"/>
      <c r="I76" s="81"/>
      <c r="J76" s="81"/>
    </row>
    <row r="77" spans="1:10" x14ac:dyDescent="0.3">
      <c r="A77" s="34">
        <f>8.34*A76</f>
        <v>9.5075999999999983</v>
      </c>
      <c r="B77" t="s">
        <v>140</v>
      </c>
      <c r="E77" s="6"/>
    </row>
    <row r="78" spans="1:10" x14ac:dyDescent="0.3">
      <c r="A78" s="33">
        <f>A77*A75</f>
        <v>8.2399516919999982</v>
      </c>
      <c r="B78" t="s">
        <v>141</v>
      </c>
      <c r="E78" s="6"/>
      <c r="F78" t="s">
        <v>168</v>
      </c>
    </row>
    <row r="79" spans="1:10" ht="28.2" customHeight="1" x14ac:dyDescent="0.3">
      <c r="A79" s="105" t="s">
        <v>223</v>
      </c>
      <c r="B79" s="105"/>
      <c r="C79" s="105"/>
      <c r="D79" s="105"/>
      <c r="E79" s="106"/>
      <c r="F79" t="s">
        <v>105</v>
      </c>
    </row>
    <row r="80" spans="1:10" x14ac:dyDescent="0.3">
      <c r="E80" s="6"/>
      <c r="F80" s="27">
        <f>A95</f>
        <v>0.64595335585499969</v>
      </c>
      <c r="G80" t="str">
        <f>B95</f>
        <v>lbs CO2e/dry ton for chemical delivery</v>
      </c>
    </row>
    <row r="81" spans="1:5" x14ac:dyDescent="0.3">
      <c r="A81" t="s">
        <v>86</v>
      </c>
      <c r="E81" s="6"/>
    </row>
    <row r="82" spans="1:5" x14ac:dyDescent="0.3">
      <c r="E82" s="6"/>
    </row>
    <row r="83" spans="1:5" x14ac:dyDescent="0.3">
      <c r="A83" s="34">
        <f>((A78)/2000)*A70</f>
        <v>1.8086693963939995</v>
      </c>
      <c r="B83" t="s">
        <v>171</v>
      </c>
      <c r="E83" s="6"/>
    </row>
    <row r="84" spans="1:5" x14ac:dyDescent="0.3">
      <c r="A84" s="51"/>
      <c r="B84" s="20"/>
      <c r="C84" s="20"/>
      <c r="D84" s="20"/>
      <c r="E84" s="52"/>
    </row>
    <row r="85" spans="1:5" x14ac:dyDescent="0.3">
      <c r="E85" s="6"/>
    </row>
    <row r="86" spans="1:5" x14ac:dyDescent="0.3">
      <c r="A86" s="30">
        <v>162</v>
      </c>
      <c r="B86" t="s">
        <v>102</v>
      </c>
      <c r="E86" s="6"/>
    </row>
    <row r="87" spans="1:5" x14ac:dyDescent="0.3">
      <c r="A87" s="33">
        <f>A86*(1/453.6)</f>
        <v>0.3571428571428571</v>
      </c>
      <c r="B87" t="s">
        <v>103</v>
      </c>
      <c r="E87" s="6"/>
    </row>
    <row r="88" spans="1:5" x14ac:dyDescent="0.3">
      <c r="A88" s="86" t="s">
        <v>104</v>
      </c>
      <c r="B88" s="86"/>
      <c r="C88" s="86"/>
      <c r="D88" s="86"/>
      <c r="E88" s="87"/>
    </row>
    <row r="89" spans="1:5" x14ac:dyDescent="0.3">
      <c r="A89" s="86"/>
      <c r="B89" s="86"/>
      <c r="C89" s="86"/>
      <c r="D89" s="86"/>
      <c r="E89" s="87"/>
    </row>
    <row r="90" spans="1:5" x14ac:dyDescent="0.3">
      <c r="A90" s="86"/>
      <c r="B90" s="86"/>
      <c r="C90" s="86"/>
      <c r="D90" s="86"/>
      <c r="E90" s="87"/>
    </row>
    <row r="91" spans="1:5" x14ac:dyDescent="0.3">
      <c r="A91" s="86"/>
      <c r="B91" s="86"/>
      <c r="C91" s="86"/>
      <c r="D91" s="86"/>
      <c r="E91" s="87"/>
    </row>
    <row r="92" spans="1:5" x14ac:dyDescent="0.3">
      <c r="A92" s="86"/>
      <c r="B92" s="86"/>
      <c r="C92" s="86"/>
      <c r="D92" s="86"/>
      <c r="E92" s="87"/>
    </row>
    <row r="93" spans="1:5" x14ac:dyDescent="0.3">
      <c r="A93" s="86"/>
      <c r="B93" s="86"/>
      <c r="C93" s="86"/>
      <c r="D93" s="86"/>
      <c r="E93" s="87"/>
    </row>
    <row r="94" spans="1:5" x14ac:dyDescent="0.3">
      <c r="A94" t="s">
        <v>105</v>
      </c>
      <c r="E94" s="6"/>
    </row>
    <row r="95" spans="1:5" x14ac:dyDescent="0.3">
      <c r="A95" s="27">
        <f>A87*A83</f>
        <v>0.64595335585499969</v>
      </c>
      <c r="B95" t="s">
        <v>106</v>
      </c>
      <c r="E95" s="6"/>
    </row>
    <row r="96" spans="1:5" x14ac:dyDescent="0.3">
      <c r="E96" s="6"/>
    </row>
    <row r="97" spans="1:10" x14ac:dyDescent="0.3">
      <c r="A97" s="11" t="s">
        <v>107</v>
      </c>
      <c r="B97" s="12"/>
      <c r="C97" s="12"/>
      <c r="D97" s="12"/>
      <c r="E97" s="14"/>
    </row>
    <row r="98" spans="1:10" x14ac:dyDescent="0.3">
      <c r="E98" s="6"/>
    </row>
    <row r="99" spans="1:10" x14ac:dyDescent="0.3">
      <c r="A99" t="s">
        <v>12</v>
      </c>
      <c r="E99" s="6"/>
    </row>
    <row r="100" spans="1:10" x14ac:dyDescent="0.3">
      <c r="E100" s="6"/>
    </row>
    <row r="101" spans="1:10" x14ac:dyDescent="0.3">
      <c r="A101" t="s">
        <v>108</v>
      </c>
    </row>
    <row r="102" spans="1:10" x14ac:dyDescent="0.3">
      <c r="A102" s="3">
        <v>108</v>
      </c>
      <c r="B102" t="s">
        <v>190</v>
      </c>
    </row>
    <row r="104" spans="1:10" x14ac:dyDescent="0.3">
      <c r="A104" t="s">
        <v>111</v>
      </c>
    </row>
    <row r="105" spans="1:10" x14ac:dyDescent="0.3">
      <c r="A105" s="35">
        <v>0.16</v>
      </c>
      <c r="F105" s="12"/>
      <c r="G105" s="12"/>
      <c r="H105" s="12"/>
      <c r="I105" s="12"/>
      <c r="J105" s="12"/>
    </row>
    <row r="107" spans="1:10" x14ac:dyDescent="0.3">
      <c r="A107" t="s">
        <v>112</v>
      </c>
      <c r="F107" t="s">
        <v>13</v>
      </c>
    </row>
    <row r="108" spans="1:10" x14ac:dyDescent="0.3">
      <c r="A108" s="17">
        <f>1/A105</f>
        <v>6.25</v>
      </c>
      <c r="B108" t="s">
        <v>113</v>
      </c>
    </row>
    <row r="109" spans="1:10" x14ac:dyDescent="0.3">
      <c r="F109" s="77" t="s">
        <v>108</v>
      </c>
    </row>
    <row r="110" spans="1:10" x14ac:dyDescent="0.3">
      <c r="A110" t="s">
        <v>86</v>
      </c>
      <c r="F110" s="3">
        <v>1</v>
      </c>
      <c r="G110" t="s">
        <v>110</v>
      </c>
    </row>
    <row r="111" spans="1:10" x14ac:dyDescent="0.3">
      <c r="F111" s="77"/>
    </row>
    <row r="112" spans="1:10" x14ac:dyDescent="0.3">
      <c r="A112" s="29">
        <f>A108*AVERAGE(A102:A102)</f>
        <v>675</v>
      </c>
      <c r="B112" t="s">
        <v>114</v>
      </c>
      <c r="F112" s="78" t="s">
        <v>191</v>
      </c>
    </row>
    <row r="113" spans="1:10" x14ac:dyDescent="0.3">
      <c r="A113" s="20" t="s">
        <v>145</v>
      </c>
      <c r="F113" s="77"/>
    </row>
    <row r="114" spans="1:10" x14ac:dyDescent="0.3">
      <c r="A114" s="20"/>
      <c r="F114" s="77" t="s">
        <v>111</v>
      </c>
    </row>
    <row r="115" spans="1:10" x14ac:dyDescent="0.3">
      <c r="A115" s="30">
        <v>162</v>
      </c>
      <c r="B115" t="s">
        <v>102</v>
      </c>
      <c r="F115" s="35">
        <v>0.16</v>
      </c>
    </row>
    <row r="116" spans="1:10" x14ac:dyDescent="0.3">
      <c r="A116" s="33">
        <f>A115*(1/453.6)</f>
        <v>0.3571428571428571</v>
      </c>
      <c r="B116" t="s">
        <v>103</v>
      </c>
      <c r="F116" s="77"/>
    </row>
    <row r="117" spans="1:10" x14ac:dyDescent="0.3">
      <c r="A117" s="86" t="s">
        <v>104</v>
      </c>
      <c r="B117" s="86"/>
      <c r="C117" s="86"/>
      <c r="D117" s="86"/>
      <c r="E117" s="86"/>
      <c r="F117" s="77" t="s">
        <v>112</v>
      </c>
    </row>
    <row r="118" spans="1:10" x14ac:dyDescent="0.3">
      <c r="A118" s="86"/>
      <c r="B118" s="86"/>
      <c r="C118" s="86"/>
      <c r="D118" s="86"/>
      <c r="E118" s="86"/>
      <c r="F118" s="17">
        <f>1/F115</f>
        <v>6.25</v>
      </c>
      <c r="G118" t="s">
        <v>113</v>
      </c>
    </row>
    <row r="119" spans="1:10" x14ac:dyDescent="0.3">
      <c r="A119" s="86"/>
      <c r="B119" s="86"/>
      <c r="C119" s="86"/>
      <c r="D119" s="86"/>
      <c r="E119" s="86"/>
      <c r="F119" s="77"/>
    </row>
    <row r="120" spans="1:10" x14ac:dyDescent="0.3">
      <c r="A120" s="86"/>
      <c r="B120" s="86"/>
      <c r="C120" s="86"/>
      <c r="D120" s="86"/>
      <c r="E120" s="86"/>
      <c r="F120" s="77" t="s">
        <v>86</v>
      </c>
    </row>
    <row r="121" spans="1:10" x14ac:dyDescent="0.3">
      <c r="A121" s="86"/>
      <c r="B121" s="86"/>
      <c r="C121" s="86"/>
      <c r="D121" s="86"/>
      <c r="E121" s="86"/>
      <c r="F121" s="77"/>
    </row>
    <row r="122" spans="1:10" x14ac:dyDescent="0.3">
      <c r="A122" s="86"/>
      <c r="B122" s="86"/>
      <c r="C122" s="86"/>
      <c r="D122" s="86"/>
      <c r="E122" s="86"/>
      <c r="F122" s="19">
        <f>F118*AVERAGE(F110:F112)</f>
        <v>6.25</v>
      </c>
      <c r="G122" t="s">
        <v>114</v>
      </c>
    </row>
    <row r="123" spans="1:10" x14ac:dyDescent="0.3">
      <c r="A123" t="s">
        <v>115</v>
      </c>
      <c r="F123" s="78" t="s">
        <v>145</v>
      </c>
    </row>
    <row r="124" spans="1:10" x14ac:dyDescent="0.3">
      <c r="A124" s="38">
        <f>A116*A112</f>
        <v>241.07142857142853</v>
      </c>
      <c r="B124" s="84" t="s">
        <v>116</v>
      </c>
      <c r="C124" s="85"/>
      <c r="D124" s="85"/>
      <c r="E124" s="85"/>
      <c r="F124" s="78"/>
    </row>
    <row r="125" spans="1:10" x14ac:dyDescent="0.3">
      <c r="F125" s="2">
        <v>162</v>
      </c>
      <c r="G125" t="s">
        <v>102</v>
      </c>
    </row>
    <row r="126" spans="1:10" x14ac:dyDescent="0.3">
      <c r="F126" s="80">
        <f>F125*(1/453.6)</f>
        <v>0.3571428571428571</v>
      </c>
      <c r="G126" t="s">
        <v>103</v>
      </c>
    </row>
    <row r="127" spans="1:10" x14ac:dyDescent="0.3">
      <c r="E127" s="6"/>
      <c r="F127" s="112" t="s">
        <v>104</v>
      </c>
      <c r="G127" s="86"/>
      <c r="H127" s="86"/>
      <c r="I127" s="86"/>
      <c r="J127" s="86"/>
    </row>
    <row r="128" spans="1:10" x14ac:dyDescent="0.3">
      <c r="E128" s="6"/>
      <c r="F128" s="112"/>
      <c r="G128" s="86"/>
      <c r="H128" s="86"/>
      <c r="I128" s="86"/>
      <c r="J128" s="86"/>
    </row>
    <row r="129" spans="1:10" x14ac:dyDescent="0.3">
      <c r="A129" s="11" t="s">
        <v>146</v>
      </c>
      <c r="B129" s="12"/>
      <c r="C129" s="12"/>
      <c r="D129" s="12"/>
      <c r="E129" s="14"/>
      <c r="F129" s="112"/>
      <c r="G129" s="86"/>
      <c r="H129" s="86"/>
      <c r="I129" s="86"/>
      <c r="J129" s="86"/>
    </row>
    <row r="130" spans="1:10" x14ac:dyDescent="0.3">
      <c r="E130" s="6"/>
      <c r="F130" s="112"/>
      <c r="G130" s="86"/>
      <c r="H130" s="86"/>
      <c r="I130" s="86"/>
      <c r="J130" s="86"/>
    </row>
    <row r="131" spans="1:10" x14ac:dyDescent="0.3">
      <c r="A131" t="s">
        <v>12</v>
      </c>
      <c r="E131" s="6"/>
      <c r="F131" s="112"/>
      <c r="G131" s="86"/>
      <c r="H131" s="86"/>
      <c r="I131" s="86"/>
      <c r="J131" s="86"/>
    </row>
    <row r="132" spans="1:10" x14ac:dyDescent="0.3">
      <c r="E132" s="6"/>
      <c r="F132" s="112"/>
      <c r="G132" s="86"/>
      <c r="H132" s="86"/>
      <c r="I132" s="86"/>
      <c r="J132" s="86"/>
    </row>
    <row r="133" spans="1:10" x14ac:dyDescent="0.3">
      <c r="A133" t="s">
        <v>66</v>
      </c>
      <c r="E133" s="6"/>
      <c r="F133" s="77" t="s">
        <v>115</v>
      </c>
    </row>
    <row r="134" spans="1:10" x14ac:dyDescent="0.3">
      <c r="E134" s="6"/>
      <c r="F134" s="37">
        <f>F126*F122</f>
        <v>2.2321428571428568</v>
      </c>
      <c r="G134" s="85" t="s">
        <v>116</v>
      </c>
      <c r="H134" s="85"/>
      <c r="I134" s="85"/>
      <c r="J134" s="85"/>
    </row>
    <row r="135" spans="1:10" x14ac:dyDescent="0.3">
      <c r="E135" s="6"/>
      <c r="F135" s="69"/>
      <c r="G135" s="5"/>
      <c r="H135" s="5"/>
      <c r="I135" s="5"/>
      <c r="J135" s="5"/>
    </row>
    <row r="136" spans="1:10" x14ac:dyDescent="0.3">
      <c r="A136" s="11" t="s">
        <v>117</v>
      </c>
      <c r="B136" s="12"/>
      <c r="C136" s="12"/>
      <c r="D136" s="12"/>
      <c r="E136" s="14"/>
    </row>
    <row r="137" spans="1:10" x14ac:dyDescent="0.3">
      <c r="E137" s="6"/>
      <c r="F137" s="12"/>
      <c r="G137" s="12"/>
      <c r="H137" s="12"/>
      <c r="I137" s="12"/>
      <c r="J137" s="12"/>
    </row>
    <row r="138" spans="1:10" x14ac:dyDescent="0.3">
      <c r="A138" t="s">
        <v>12</v>
      </c>
      <c r="E138" s="6"/>
    </row>
    <row r="139" spans="1:10" x14ac:dyDescent="0.3">
      <c r="A139" s="37">
        <f>A61</f>
        <v>3.5975450000000007</v>
      </c>
      <c r="B139" s="104" t="str">
        <f>B61</f>
        <v>lbs CO2e/dry ton for dewatering/thickening electricity</v>
      </c>
      <c r="C139" s="104"/>
      <c r="D139" s="104"/>
      <c r="E139" s="104"/>
      <c r="F139" t="s">
        <v>13</v>
      </c>
    </row>
    <row r="140" spans="1:10" x14ac:dyDescent="0.3">
      <c r="A140" s="37">
        <f>A95</f>
        <v>0.64595335585499969</v>
      </c>
      <c r="B140" s="104" t="str">
        <f>B95</f>
        <v>lbs CO2e/dry ton for chemical delivery</v>
      </c>
      <c r="C140" s="104"/>
      <c r="D140" s="104"/>
      <c r="E140" s="104"/>
    </row>
    <row r="141" spans="1:10" x14ac:dyDescent="0.3">
      <c r="A141" s="37">
        <f>A124</f>
        <v>241.07142857142853</v>
      </c>
      <c r="B141" s="104" t="str">
        <f>B124</f>
        <v>lbs CO2e/dry ton for offsite biosolids hauling</v>
      </c>
      <c r="C141" s="104"/>
      <c r="D141" s="104"/>
      <c r="E141" s="104"/>
      <c r="F141" s="38">
        <f>SUM('Windsor Inventory'!$F$267:$F$270)</f>
        <v>502.93733994271616</v>
      </c>
      <c r="G141" t="s">
        <v>147</v>
      </c>
    </row>
    <row r="142" spans="1:10" ht="15" thickBot="1" x14ac:dyDescent="0.35">
      <c r="A142" s="70">
        <f>SUM(A139:A141)</f>
        <v>245.31492692728352</v>
      </c>
      <c r="B142" s="71" t="s">
        <v>118</v>
      </c>
      <c r="C142" s="71"/>
      <c r="D142" s="71"/>
      <c r="E142" s="72"/>
    </row>
    <row r="143" spans="1:10" ht="15" thickBot="1" x14ac:dyDescent="0.35">
      <c r="A143" s="40">
        <f>A142/2204.6</f>
        <v>0.11127412089598274</v>
      </c>
      <c r="B143" s="41" t="s">
        <v>119</v>
      </c>
      <c r="C143" s="41"/>
      <c r="D143" s="41"/>
      <c r="E143" s="65"/>
    </row>
    <row r="144" spans="1:10" x14ac:dyDescent="0.3">
      <c r="E144" s="6"/>
      <c r="F144" s="12"/>
      <c r="G144" s="12"/>
      <c r="H144" s="12"/>
      <c r="I144" s="12"/>
      <c r="J144" s="12"/>
    </row>
    <row r="145" spans="5:10" x14ac:dyDescent="0.3">
      <c r="E145" s="6"/>
    </row>
    <row r="146" spans="5:10" x14ac:dyDescent="0.3">
      <c r="F146" t="s">
        <v>13</v>
      </c>
    </row>
    <row r="147" spans="5:10" x14ac:dyDescent="0.3">
      <c r="F147" s="38">
        <f>F52</f>
        <v>3.5975450000000007</v>
      </c>
      <c r="G147" s="104" t="str">
        <f>G52</f>
        <v>lbs CO2e/dry ton for dewatering/thickening electricity</v>
      </c>
      <c r="H147" s="104"/>
      <c r="I147" s="104"/>
      <c r="J147" s="104"/>
    </row>
    <row r="148" spans="5:10" x14ac:dyDescent="0.3">
      <c r="F148" s="38">
        <f>F80</f>
        <v>0.64595335585499969</v>
      </c>
      <c r="G148" s="104" t="str">
        <f>G80</f>
        <v>lbs CO2e/dry ton for chemical delivery</v>
      </c>
      <c r="H148" s="104"/>
      <c r="I148" s="104"/>
      <c r="J148" s="104"/>
    </row>
    <row r="149" spans="5:10" x14ac:dyDescent="0.3">
      <c r="F149" s="38">
        <f>F134</f>
        <v>2.2321428571428568</v>
      </c>
      <c r="G149" s="104" t="str">
        <f>G134</f>
        <v>lbs CO2e/dry ton for offsite biosolids hauling</v>
      </c>
      <c r="H149" s="104"/>
      <c r="I149" s="104"/>
      <c r="J149" s="104"/>
    </row>
    <row r="150" spans="5:10" ht="15" thickBot="1" x14ac:dyDescent="0.35">
      <c r="F150" s="68">
        <f>F141</f>
        <v>502.93733994271616</v>
      </c>
      <c r="G150" s="111" t="str">
        <f>G141</f>
        <v>lbs CO2e/dry ton for biodrying and pyrolysis</v>
      </c>
      <c r="H150" s="111"/>
      <c r="I150" s="111"/>
      <c r="J150" s="111"/>
    </row>
    <row r="151" spans="5:10" ht="15" thickBot="1" x14ac:dyDescent="0.35">
      <c r="F151" s="64">
        <f>SUM(F147:F150)</f>
        <v>509.41298115571402</v>
      </c>
      <c r="G151" s="41" t="s">
        <v>118</v>
      </c>
      <c r="H151" s="41"/>
      <c r="I151" s="41"/>
      <c r="J151" s="42"/>
    </row>
    <row r="152" spans="5:10" ht="15" thickBot="1" x14ac:dyDescent="0.35">
      <c r="F152" s="64">
        <f>F151/2204.6</f>
        <v>0.23106821244475825</v>
      </c>
      <c r="G152" s="41" t="s">
        <v>119</v>
      </c>
      <c r="H152" s="41"/>
      <c r="I152" s="41"/>
      <c r="J152" s="42"/>
    </row>
  </sheetData>
  <mergeCells count="23">
    <mergeCell ref="G149:J149"/>
    <mergeCell ref="G150:J150"/>
    <mergeCell ref="B139:E139"/>
    <mergeCell ref="G147:J147"/>
    <mergeCell ref="B140:E140"/>
    <mergeCell ref="G148:J148"/>
    <mergeCell ref="B141:E141"/>
    <mergeCell ref="G134:J134"/>
    <mergeCell ref="G52:J52"/>
    <mergeCell ref="A54:D54"/>
    <mergeCell ref="B61:E61"/>
    <mergeCell ref="F74:J76"/>
    <mergeCell ref="A88:E93"/>
    <mergeCell ref="A117:E122"/>
    <mergeCell ref="F127:J132"/>
    <mergeCell ref="B124:E124"/>
    <mergeCell ref="A51:E51"/>
    <mergeCell ref="A79:E79"/>
    <mergeCell ref="A13:I14"/>
    <mergeCell ref="A16:I21"/>
    <mergeCell ref="A23:I28"/>
    <mergeCell ref="A32:E32"/>
    <mergeCell ref="A44:E44"/>
  </mergeCells>
  <hyperlinks>
    <hyperlink ref="A58" r:id="rId1" display="https://sonomacleanpower.org/power-sources" xr:uid="{700DF175-06BF-4385-8318-EB96F5030E3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27984-9029-439E-94C9-615AED850283}">
  <dimension ref="A1:J153"/>
  <sheetViews>
    <sheetView topLeftCell="A61" workbookViewId="0">
      <selection activeCell="A44" sqref="A44:E44"/>
    </sheetView>
  </sheetViews>
  <sheetFormatPr defaultRowHeight="14.4" x14ac:dyDescent="0.3"/>
  <sheetData>
    <row r="1" spans="1:10" ht="21" x14ac:dyDescent="0.4">
      <c r="A1" s="8" t="s">
        <v>0</v>
      </c>
      <c r="B1" s="9"/>
      <c r="C1" s="9"/>
      <c r="D1" s="9"/>
      <c r="E1" s="9"/>
      <c r="F1" s="9"/>
      <c r="G1" s="9"/>
      <c r="H1" s="9"/>
      <c r="I1" s="9"/>
      <c r="J1" s="9"/>
    </row>
    <row r="2" spans="1:10" ht="15.6" x14ac:dyDescent="0.3">
      <c r="A2" s="10" t="s">
        <v>192</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193</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19" spans="1:10" x14ac:dyDescent="0.3">
      <c r="A19" s="81"/>
      <c r="B19" s="81"/>
      <c r="C19" s="81"/>
      <c r="D19" s="81"/>
      <c r="E19" s="81"/>
      <c r="F19" s="81"/>
      <c r="G19" s="81"/>
      <c r="H19" s="81"/>
      <c r="I19" s="81"/>
    </row>
    <row r="20" spans="1:10" x14ac:dyDescent="0.3">
      <c r="A20" s="81"/>
      <c r="B20" s="81"/>
      <c r="C20" s="81"/>
      <c r="D20" s="81"/>
      <c r="E20" s="81"/>
      <c r="F20" s="81"/>
      <c r="G20" s="81"/>
      <c r="H20" s="81"/>
      <c r="I20" s="81"/>
    </row>
    <row r="21" spans="1:10" x14ac:dyDescent="0.3">
      <c r="A21" s="81"/>
      <c r="B21" s="81"/>
      <c r="C21" s="81"/>
      <c r="D21" s="81"/>
      <c r="E21" s="81"/>
      <c r="F21" s="81"/>
      <c r="G21" s="81"/>
      <c r="H21" s="81"/>
      <c r="I21" s="81"/>
    </row>
    <row r="23" spans="1:10" x14ac:dyDescent="0.3">
      <c r="A23" s="81" t="s">
        <v>122</v>
      </c>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81"/>
      <c r="B26" s="81"/>
      <c r="C26" s="81"/>
      <c r="D26" s="81"/>
      <c r="E26" s="81"/>
      <c r="F26" s="81"/>
      <c r="G26" s="81"/>
      <c r="H26" s="81"/>
      <c r="I26" s="81"/>
    </row>
    <row r="27" spans="1:10" x14ac:dyDescent="0.3">
      <c r="A27" s="81"/>
      <c r="B27" s="81"/>
      <c r="C27" s="81"/>
      <c r="D27" s="81"/>
      <c r="E27" s="81"/>
      <c r="F27" s="81"/>
      <c r="G27" s="81"/>
      <c r="H27" s="81"/>
      <c r="I27" s="81"/>
    </row>
    <row r="28" spans="1:10" x14ac:dyDescent="0.3">
      <c r="A28" s="81"/>
      <c r="B28" s="81"/>
      <c r="C28" s="81"/>
      <c r="D28" s="81"/>
      <c r="E28" s="81"/>
      <c r="F28" s="81"/>
      <c r="G28" s="81"/>
      <c r="H28" s="81"/>
      <c r="I28" s="81"/>
    </row>
    <row r="29" spans="1:10" x14ac:dyDescent="0.3">
      <c r="A29" s="11" t="s">
        <v>11</v>
      </c>
      <c r="B29" s="12"/>
      <c r="C29" s="12"/>
      <c r="D29" s="12"/>
      <c r="E29" s="14"/>
      <c r="F29" s="12"/>
      <c r="G29" s="12"/>
      <c r="H29" s="12"/>
      <c r="I29" s="12"/>
      <c r="J29" s="12"/>
    </row>
    <row r="30" spans="1:10" x14ac:dyDescent="0.3">
      <c r="E30" s="6"/>
    </row>
    <row r="31" spans="1:10" x14ac:dyDescent="0.3">
      <c r="A31" t="s">
        <v>12</v>
      </c>
      <c r="E31" s="6"/>
      <c r="F31" t="s">
        <v>13</v>
      </c>
    </row>
    <row r="32" spans="1:10" x14ac:dyDescent="0.3">
      <c r="A32" s="83" t="s">
        <v>194</v>
      </c>
      <c r="B32" s="83"/>
      <c r="C32" s="83"/>
      <c r="D32" s="83"/>
      <c r="E32" s="83"/>
      <c r="F32" t="s">
        <v>15</v>
      </c>
    </row>
    <row r="33" spans="1:10" x14ac:dyDescent="0.3">
      <c r="E33" s="6"/>
    </row>
    <row r="34" spans="1:10" x14ac:dyDescent="0.3">
      <c r="A34" s="11" t="s">
        <v>16</v>
      </c>
      <c r="B34" s="12"/>
      <c r="C34" s="12"/>
      <c r="D34" s="12"/>
      <c r="E34" s="14"/>
      <c r="F34" s="12"/>
      <c r="G34" s="12"/>
      <c r="H34" s="12"/>
      <c r="I34" s="12"/>
      <c r="J34" s="12"/>
    </row>
    <row r="35" spans="1:10" x14ac:dyDescent="0.3">
      <c r="E35" s="6"/>
    </row>
    <row r="36" spans="1:10" x14ac:dyDescent="0.3">
      <c r="A36" t="s">
        <v>12</v>
      </c>
      <c r="E36" s="6"/>
      <c r="F36" t="s">
        <v>13</v>
      </c>
    </row>
    <row r="37" spans="1:10" x14ac:dyDescent="0.3">
      <c r="A37">
        <v>2025</v>
      </c>
      <c r="B37" s="7">
        <v>1.4</v>
      </c>
      <c r="C37" t="s">
        <v>17</v>
      </c>
      <c r="E37" s="6"/>
      <c r="F37" t="s">
        <v>15</v>
      </c>
    </row>
    <row r="38" spans="1:10" x14ac:dyDescent="0.3">
      <c r="A38">
        <v>2030</v>
      </c>
      <c r="B38" s="7">
        <v>1.5</v>
      </c>
      <c r="C38" t="s">
        <v>17</v>
      </c>
      <c r="E38" s="6"/>
    </row>
    <row r="39" spans="1:10" x14ac:dyDescent="0.3">
      <c r="A39">
        <v>2035</v>
      </c>
      <c r="B39" s="7">
        <v>1.5</v>
      </c>
      <c r="C39" t="s">
        <v>17</v>
      </c>
      <c r="E39" s="6"/>
    </row>
    <row r="40" spans="1:10" x14ac:dyDescent="0.3">
      <c r="A40">
        <v>2040</v>
      </c>
      <c r="B40" s="7">
        <v>1.6</v>
      </c>
      <c r="C40" t="s">
        <v>17</v>
      </c>
      <c r="E40" s="6"/>
    </row>
    <row r="41" spans="1:10" x14ac:dyDescent="0.3">
      <c r="A41">
        <v>2045</v>
      </c>
      <c r="B41" s="7">
        <v>1.6</v>
      </c>
      <c r="C41" t="s">
        <v>17</v>
      </c>
      <c r="E41" s="6"/>
    </row>
    <row r="42" spans="1:10" x14ac:dyDescent="0.3">
      <c r="A42">
        <v>2050</v>
      </c>
      <c r="B42" s="7">
        <v>1.7</v>
      </c>
      <c r="C42" t="s">
        <v>17</v>
      </c>
      <c r="E42" s="6"/>
    </row>
    <row r="43" spans="1:10" x14ac:dyDescent="0.3">
      <c r="E43" s="6"/>
    </row>
    <row r="44" spans="1:10" x14ac:dyDescent="0.3">
      <c r="A44" s="86"/>
      <c r="B44" s="86"/>
      <c r="C44" s="86"/>
      <c r="D44" s="86"/>
      <c r="E44" s="87"/>
    </row>
    <row r="45" spans="1:10" x14ac:dyDescent="0.3">
      <c r="E45" s="6"/>
    </row>
    <row r="46" spans="1:10" x14ac:dyDescent="0.3">
      <c r="A46" s="11" t="s">
        <v>41</v>
      </c>
      <c r="B46" s="12"/>
      <c r="C46" s="12"/>
      <c r="D46" s="12"/>
      <c r="E46" s="14"/>
      <c r="F46" s="12"/>
      <c r="G46" s="12"/>
      <c r="H46" s="12"/>
      <c r="I46" s="12"/>
      <c r="J46" s="12"/>
    </row>
    <row r="47" spans="1:10" x14ac:dyDescent="0.3">
      <c r="E47" s="6"/>
    </row>
    <row r="48" spans="1:10" x14ac:dyDescent="0.3">
      <c r="A48" t="s">
        <v>12</v>
      </c>
      <c r="E48" s="6"/>
      <c r="F48" t="s">
        <v>13</v>
      </c>
    </row>
    <row r="49" spans="1:10" x14ac:dyDescent="0.3">
      <c r="E49" s="6"/>
      <c r="F49" t="s">
        <v>15</v>
      </c>
    </row>
    <row r="50" spans="1:10" ht="27.9" customHeight="1" x14ac:dyDescent="0.3">
      <c r="A50" s="66">
        <v>9</v>
      </c>
      <c r="B50" s="94" t="s">
        <v>195</v>
      </c>
      <c r="C50" s="81"/>
      <c r="D50" s="81"/>
      <c r="E50" s="82"/>
    </row>
    <row r="51" spans="1:10" x14ac:dyDescent="0.3">
      <c r="E51" s="6"/>
      <c r="F51" t="s">
        <v>62</v>
      </c>
    </row>
    <row r="52" spans="1:10" ht="30" customHeight="1" x14ac:dyDescent="0.3">
      <c r="A52" s="66">
        <v>3.73</v>
      </c>
      <c r="B52" s="94" t="s">
        <v>196</v>
      </c>
      <c r="C52" s="81"/>
      <c r="D52" s="81"/>
      <c r="E52" s="82"/>
      <c r="F52" s="37">
        <f>A66</f>
        <v>2.1111</v>
      </c>
      <c r="G52" s="85" t="str">
        <f>B66</f>
        <v>lbs CO2e/dry ton for dewatering/thickening electricity</v>
      </c>
      <c r="H52" s="85"/>
      <c r="I52" s="85"/>
      <c r="J52" s="85"/>
    </row>
    <row r="53" spans="1:10" x14ac:dyDescent="0.3">
      <c r="A53" s="66">
        <v>20</v>
      </c>
      <c r="B53" s="94" t="s">
        <v>197</v>
      </c>
      <c r="C53" s="81"/>
      <c r="D53" s="81"/>
      <c r="E53" s="82"/>
    </row>
    <row r="54" spans="1:10" x14ac:dyDescent="0.3">
      <c r="A54" s="20"/>
      <c r="E54" s="6"/>
    </row>
    <row r="55" spans="1:10" x14ac:dyDescent="0.3">
      <c r="A55" s="20"/>
      <c r="E55" s="6"/>
    </row>
    <row r="56" spans="1:10" ht="27" customHeight="1" x14ac:dyDescent="0.3">
      <c r="A56" s="73">
        <f>A53+A52+(A50/$B$37)</f>
        <v>30.158571428571427</v>
      </c>
      <c r="B56" s="94" t="s">
        <v>198</v>
      </c>
      <c r="C56" s="81"/>
      <c r="D56" s="81"/>
      <c r="E56" s="82"/>
    </row>
    <row r="57" spans="1:10" x14ac:dyDescent="0.3">
      <c r="E57" s="6"/>
    </row>
    <row r="58" spans="1:10" x14ac:dyDescent="0.3">
      <c r="A58" t="s">
        <v>57</v>
      </c>
      <c r="E58" s="6"/>
    </row>
    <row r="59" spans="1:10" x14ac:dyDescent="0.3">
      <c r="A59" s="88" t="s">
        <v>58</v>
      </c>
      <c r="B59" s="89"/>
      <c r="C59" s="89"/>
      <c r="D59" s="90"/>
      <c r="E59" s="6"/>
    </row>
    <row r="60" spans="1:10" x14ac:dyDescent="0.3">
      <c r="E60" s="6"/>
    </row>
    <row r="61" spans="1:10" x14ac:dyDescent="0.3">
      <c r="A61" t="s">
        <v>59</v>
      </c>
      <c r="E61" s="6"/>
    </row>
    <row r="62" spans="1:10" x14ac:dyDescent="0.3">
      <c r="A62" s="2">
        <v>70</v>
      </c>
      <c r="B62" t="s">
        <v>60</v>
      </c>
      <c r="E62" s="6"/>
    </row>
    <row r="63" spans="1:10" x14ac:dyDescent="0.3">
      <c r="A63" s="23" t="s">
        <v>61</v>
      </c>
      <c r="E63" s="6"/>
    </row>
    <row r="64" spans="1:10" x14ac:dyDescent="0.3">
      <c r="E64" s="6"/>
    </row>
    <row r="65" spans="1:10" x14ac:dyDescent="0.3">
      <c r="A65" t="s">
        <v>62</v>
      </c>
      <c r="E65" s="6"/>
    </row>
    <row r="66" spans="1:10" x14ac:dyDescent="0.3">
      <c r="A66" s="37">
        <f>(A62/1000)*A56</f>
        <v>2.1111</v>
      </c>
      <c r="B66" s="84" t="s">
        <v>64</v>
      </c>
      <c r="C66" s="85"/>
      <c r="D66" s="85"/>
      <c r="E66" s="95"/>
    </row>
    <row r="67" spans="1:10" x14ac:dyDescent="0.3">
      <c r="E67" s="6"/>
    </row>
    <row r="68" spans="1:10" x14ac:dyDescent="0.3">
      <c r="E68" s="6"/>
    </row>
    <row r="69" spans="1:10" x14ac:dyDescent="0.3">
      <c r="E69" s="6"/>
    </row>
    <row r="70" spans="1:10" x14ac:dyDescent="0.3">
      <c r="E70" s="6"/>
    </row>
    <row r="71" spans="1:10" x14ac:dyDescent="0.3">
      <c r="A71" s="11" t="s">
        <v>131</v>
      </c>
      <c r="B71" s="12"/>
      <c r="C71" s="12"/>
      <c r="D71" s="12"/>
      <c r="E71" s="14"/>
      <c r="F71" s="12"/>
      <c r="G71" s="12"/>
      <c r="H71" s="12"/>
      <c r="I71" s="12"/>
      <c r="J71" s="12"/>
    </row>
    <row r="72" spans="1:10" x14ac:dyDescent="0.3">
      <c r="E72" s="6"/>
    </row>
    <row r="73" spans="1:10" x14ac:dyDescent="0.3">
      <c r="A73" t="s">
        <v>12</v>
      </c>
      <c r="E73" s="6"/>
      <c r="F73" t="s">
        <v>13</v>
      </c>
    </row>
    <row r="74" spans="1:10" x14ac:dyDescent="0.3">
      <c r="E74" s="6"/>
      <c r="F74" s="81" t="s">
        <v>132</v>
      </c>
      <c r="G74" s="81"/>
      <c r="H74" s="81"/>
      <c r="I74" s="81"/>
      <c r="J74" s="81"/>
    </row>
    <row r="75" spans="1:10" x14ac:dyDescent="0.3">
      <c r="A75" t="s">
        <v>166</v>
      </c>
      <c r="E75" s="6"/>
      <c r="F75" s="81"/>
      <c r="G75" s="81"/>
      <c r="H75" s="81"/>
      <c r="I75" s="81"/>
      <c r="J75" s="81"/>
    </row>
    <row r="76" spans="1:10" x14ac:dyDescent="0.3">
      <c r="E76" s="6"/>
      <c r="F76" s="81"/>
      <c r="G76" s="81"/>
      <c r="H76" s="81"/>
      <c r="I76" s="81"/>
      <c r="J76" s="81"/>
    </row>
    <row r="77" spans="1:10" x14ac:dyDescent="0.3">
      <c r="A77" t="s">
        <v>90</v>
      </c>
      <c r="E77" s="6"/>
    </row>
    <row r="78" spans="1:10" x14ac:dyDescent="0.3">
      <c r="A78" s="28">
        <v>52</v>
      </c>
      <c r="B78" t="s">
        <v>199</v>
      </c>
      <c r="E78" s="6"/>
      <c r="F78" t="s">
        <v>168</v>
      </c>
    </row>
    <row r="79" spans="1:10" x14ac:dyDescent="0.3">
      <c r="A79" s="20"/>
      <c r="E79" s="6"/>
      <c r="F79" t="s">
        <v>105</v>
      </c>
    </row>
    <row r="80" spans="1:10" x14ac:dyDescent="0.3">
      <c r="E80" s="6"/>
      <c r="F80" s="27">
        <f>A103</f>
        <v>0.10594182857142855</v>
      </c>
      <c r="G80" t="str">
        <f>B103</f>
        <v>lbs CO2e/dry ton for chemical delivery</v>
      </c>
    </row>
    <row r="81" spans="1:5" x14ac:dyDescent="0.3">
      <c r="A81" t="s">
        <v>93</v>
      </c>
      <c r="E81" s="6"/>
    </row>
    <row r="82" spans="1:5" x14ac:dyDescent="0.3">
      <c r="E82" s="6"/>
    </row>
    <row r="83" spans="1:5" x14ac:dyDescent="0.3">
      <c r="A83" s="28">
        <v>1.2</v>
      </c>
      <c r="B83" t="s">
        <v>169</v>
      </c>
      <c r="E83" s="6"/>
    </row>
    <row r="84" spans="1:5" x14ac:dyDescent="0.3">
      <c r="A84" s="30">
        <v>1.1399999999999999</v>
      </c>
      <c r="B84" t="s">
        <v>139</v>
      </c>
      <c r="E84" s="6"/>
    </row>
    <row r="85" spans="1:5" x14ac:dyDescent="0.3">
      <c r="A85" s="34">
        <f>8.34*A84</f>
        <v>9.5075999999999983</v>
      </c>
      <c r="B85" t="s">
        <v>140</v>
      </c>
      <c r="E85" s="6"/>
    </row>
    <row r="86" spans="1:5" x14ac:dyDescent="0.3">
      <c r="A86" s="33">
        <f>A85*A83</f>
        <v>11.409119999999998</v>
      </c>
      <c r="B86" t="s">
        <v>141</v>
      </c>
      <c r="E86" s="6"/>
    </row>
    <row r="87" spans="1:5" x14ac:dyDescent="0.3">
      <c r="E87" s="6"/>
    </row>
    <row r="88" spans="1:5" x14ac:dyDescent="0.3">
      <c r="E88" s="6"/>
    </row>
    <row r="89" spans="1:5" x14ac:dyDescent="0.3">
      <c r="A89" t="s">
        <v>86</v>
      </c>
      <c r="E89" s="6"/>
    </row>
    <row r="90" spans="1:5" x14ac:dyDescent="0.3">
      <c r="E90" s="6"/>
    </row>
    <row r="91" spans="1:5" x14ac:dyDescent="0.3">
      <c r="A91" s="34">
        <f>((A86)/2000)*A78</f>
        <v>0.29663711999999998</v>
      </c>
      <c r="B91" t="s">
        <v>171</v>
      </c>
      <c r="E91" s="6"/>
    </row>
    <row r="92" spans="1:5" x14ac:dyDescent="0.3">
      <c r="A92" s="51"/>
      <c r="B92" s="20"/>
      <c r="C92" s="20"/>
      <c r="D92" s="20"/>
      <c r="E92" s="52"/>
    </row>
    <row r="93" spans="1:5" x14ac:dyDescent="0.3">
      <c r="E93" s="6"/>
    </row>
    <row r="94" spans="1:5" x14ac:dyDescent="0.3">
      <c r="A94" s="30">
        <v>162</v>
      </c>
      <c r="B94" t="s">
        <v>102</v>
      </c>
      <c r="E94" s="6"/>
    </row>
    <row r="95" spans="1:5" x14ac:dyDescent="0.3">
      <c r="A95" s="33">
        <f>A94*(1/453.6)</f>
        <v>0.3571428571428571</v>
      </c>
      <c r="B95" t="s">
        <v>103</v>
      </c>
      <c r="E95" s="6"/>
    </row>
    <row r="96" spans="1:5" x14ac:dyDescent="0.3">
      <c r="A96" s="86" t="s">
        <v>104</v>
      </c>
      <c r="B96" s="86"/>
      <c r="C96" s="86"/>
      <c r="D96" s="86"/>
      <c r="E96" s="87"/>
    </row>
    <row r="97" spans="1:10" x14ac:dyDescent="0.3">
      <c r="A97" s="86"/>
      <c r="B97" s="86"/>
      <c r="C97" s="86"/>
      <c r="D97" s="86"/>
      <c r="E97" s="87"/>
    </row>
    <row r="98" spans="1:10" x14ac:dyDescent="0.3">
      <c r="A98" s="86"/>
      <c r="B98" s="86"/>
      <c r="C98" s="86"/>
      <c r="D98" s="86"/>
      <c r="E98" s="87"/>
    </row>
    <row r="99" spans="1:10" x14ac:dyDescent="0.3">
      <c r="A99" s="86"/>
      <c r="B99" s="86"/>
      <c r="C99" s="86"/>
      <c r="D99" s="86"/>
      <c r="E99" s="87"/>
    </row>
    <row r="100" spans="1:10" x14ac:dyDescent="0.3">
      <c r="A100" s="86"/>
      <c r="B100" s="86"/>
      <c r="C100" s="86"/>
      <c r="D100" s="86"/>
      <c r="E100" s="87"/>
    </row>
    <row r="101" spans="1:10" x14ac:dyDescent="0.3">
      <c r="A101" s="86"/>
      <c r="B101" s="86"/>
      <c r="C101" s="86"/>
      <c r="D101" s="86"/>
      <c r="E101" s="87"/>
    </row>
    <row r="102" spans="1:10" x14ac:dyDescent="0.3">
      <c r="A102" t="s">
        <v>105</v>
      </c>
      <c r="E102" s="6"/>
    </row>
    <row r="103" spans="1:10" x14ac:dyDescent="0.3">
      <c r="A103" s="27">
        <f>A95*A91</f>
        <v>0.10594182857142855</v>
      </c>
      <c r="B103" t="s">
        <v>106</v>
      </c>
      <c r="E103" s="6"/>
    </row>
    <row r="104" spans="1:10" x14ac:dyDescent="0.3">
      <c r="E104" s="6"/>
    </row>
    <row r="105" spans="1:10" x14ac:dyDescent="0.3">
      <c r="A105" s="11" t="s">
        <v>107</v>
      </c>
      <c r="B105" s="12"/>
      <c r="C105" s="12"/>
      <c r="D105" s="12"/>
      <c r="E105" s="14"/>
      <c r="F105" s="12"/>
      <c r="G105" s="12"/>
      <c r="H105" s="12"/>
      <c r="I105" s="12"/>
      <c r="J105" s="12"/>
    </row>
    <row r="106" spans="1:10" x14ac:dyDescent="0.3">
      <c r="E106" s="6"/>
    </row>
    <row r="107" spans="1:10" x14ac:dyDescent="0.3">
      <c r="A107" t="s">
        <v>12</v>
      </c>
      <c r="E107" s="6"/>
      <c r="F107" t="s">
        <v>13</v>
      </c>
    </row>
    <row r="108" spans="1:10" x14ac:dyDescent="0.3">
      <c r="E108" s="6"/>
    </row>
    <row r="109" spans="1:10" x14ac:dyDescent="0.3">
      <c r="A109" t="s">
        <v>108</v>
      </c>
      <c r="E109" s="6"/>
      <c r="F109" t="s">
        <v>108</v>
      </c>
      <c r="J109" s="6"/>
    </row>
    <row r="110" spans="1:10" x14ac:dyDescent="0.3">
      <c r="A110" s="3">
        <v>26</v>
      </c>
      <c r="B110" t="s">
        <v>200</v>
      </c>
      <c r="E110" s="6"/>
      <c r="F110" s="3">
        <v>36</v>
      </c>
      <c r="G110" t="s">
        <v>110</v>
      </c>
      <c r="J110" s="6"/>
    </row>
    <row r="111" spans="1:10" x14ac:dyDescent="0.3">
      <c r="E111" s="6"/>
      <c r="F111" s="53"/>
    </row>
    <row r="112" spans="1:10" x14ac:dyDescent="0.3">
      <c r="A112" t="s">
        <v>111</v>
      </c>
      <c r="E112" s="6"/>
      <c r="F112" s="20" t="s">
        <v>201</v>
      </c>
    </row>
    <row r="113" spans="1:10" x14ac:dyDescent="0.3">
      <c r="A113" s="35">
        <v>0.16</v>
      </c>
      <c r="E113" s="6"/>
      <c r="J113" s="6"/>
    </row>
    <row r="114" spans="1:10" x14ac:dyDescent="0.3">
      <c r="E114" s="6"/>
      <c r="F114" t="s">
        <v>111</v>
      </c>
      <c r="J114" s="6"/>
    </row>
    <row r="115" spans="1:10" x14ac:dyDescent="0.3">
      <c r="A115" t="s">
        <v>112</v>
      </c>
      <c r="E115" s="6"/>
      <c r="F115" s="63">
        <v>0.16</v>
      </c>
      <c r="J115" s="6"/>
    </row>
    <row r="116" spans="1:10" x14ac:dyDescent="0.3">
      <c r="A116" s="17">
        <f>1/A113</f>
        <v>6.25</v>
      </c>
      <c r="B116" t="s">
        <v>113</v>
      </c>
      <c r="E116" s="6"/>
      <c r="J116" s="6"/>
    </row>
    <row r="117" spans="1:10" x14ac:dyDescent="0.3">
      <c r="E117" s="6"/>
      <c r="F117" t="s">
        <v>112</v>
      </c>
      <c r="J117" s="6"/>
    </row>
    <row r="118" spans="1:10" x14ac:dyDescent="0.3">
      <c r="A118" t="s">
        <v>86</v>
      </c>
      <c r="E118" s="6"/>
      <c r="F118" s="33">
        <f>1/F115</f>
        <v>6.25</v>
      </c>
      <c r="G118" t="s">
        <v>113</v>
      </c>
      <c r="J118" s="6"/>
    </row>
    <row r="119" spans="1:10" x14ac:dyDescent="0.3">
      <c r="E119" s="6"/>
      <c r="J119" s="6"/>
    </row>
    <row r="120" spans="1:10" x14ac:dyDescent="0.3">
      <c r="A120" s="29">
        <f>A116*AVERAGE(A110:A110)</f>
        <v>162.5</v>
      </c>
      <c r="B120" t="s">
        <v>114</v>
      </c>
      <c r="E120" s="6"/>
      <c r="F120" t="s">
        <v>86</v>
      </c>
      <c r="J120" s="6"/>
    </row>
    <row r="121" spans="1:10" x14ac:dyDescent="0.3">
      <c r="A121" s="20" t="s">
        <v>145</v>
      </c>
      <c r="E121" s="6"/>
      <c r="J121" s="6"/>
    </row>
    <row r="122" spans="1:10" x14ac:dyDescent="0.3">
      <c r="A122" s="20"/>
      <c r="E122" s="6"/>
      <c r="F122" s="29">
        <f>F118*AVERAGE(F110:F112)</f>
        <v>225</v>
      </c>
      <c r="G122" t="s">
        <v>114</v>
      </c>
      <c r="J122" s="6"/>
    </row>
    <row r="123" spans="1:10" x14ac:dyDescent="0.3">
      <c r="A123" s="30">
        <v>162</v>
      </c>
      <c r="B123" t="s">
        <v>102</v>
      </c>
      <c r="E123" s="6"/>
      <c r="F123" s="20" t="s">
        <v>145</v>
      </c>
      <c r="J123" s="6"/>
    </row>
    <row r="124" spans="1:10" x14ac:dyDescent="0.3">
      <c r="A124" s="33">
        <f>A123*(1/453.6)</f>
        <v>0.3571428571428571</v>
      </c>
      <c r="B124" t="s">
        <v>103</v>
      </c>
      <c r="E124" s="6"/>
      <c r="F124" s="20"/>
      <c r="J124" s="6"/>
    </row>
    <row r="125" spans="1:10" x14ac:dyDescent="0.3">
      <c r="A125" s="86" t="s">
        <v>104</v>
      </c>
      <c r="B125" s="86"/>
      <c r="C125" s="86"/>
      <c r="D125" s="86"/>
      <c r="E125" s="87"/>
      <c r="F125" s="30">
        <v>162</v>
      </c>
      <c r="G125" t="s">
        <v>102</v>
      </c>
      <c r="J125" s="6"/>
    </row>
    <row r="126" spans="1:10" x14ac:dyDescent="0.3">
      <c r="A126" s="86"/>
      <c r="B126" s="86"/>
      <c r="C126" s="86"/>
      <c r="D126" s="86"/>
      <c r="E126" s="87"/>
      <c r="F126" s="33">
        <f>F125*(1/453.6)</f>
        <v>0.3571428571428571</v>
      </c>
      <c r="G126" t="s">
        <v>103</v>
      </c>
      <c r="J126" s="6"/>
    </row>
    <row r="127" spans="1:10" x14ac:dyDescent="0.3">
      <c r="A127" s="86"/>
      <c r="B127" s="86"/>
      <c r="C127" s="86"/>
      <c r="D127" s="86"/>
      <c r="E127" s="87"/>
      <c r="F127" s="86" t="s">
        <v>104</v>
      </c>
      <c r="G127" s="86"/>
      <c r="H127" s="86"/>
      <c r="I127" s="86"/>
      <c r="J127" s="87"/>
    </row>
    <row r="128" spans="1:10" x14ac:dyDescent="0.3">
      <c r="A128" s="86"/>
      <c r="B128" s="86"/>
      <c r="C128" s="86"/>
      <c r="D128" s="86"/>
      <c r="E128" s="87"/>
      <c r="F128" s="86"/>
      <c r="G128" s="86"/>
      <c r="H128" s="86"/>
      <c r="I128" s="86"/>
      <c r="J128" s="87"/>
    </row>
    <row r="129" spans="1:10" x14ac:dyDescent="0.3">
      <c r="A129" s="86"/>
      <c r="B129" s="86"/>
      <c r="C129" s="86"/>
      <c r="D129" s="86"/>
      <c r="E129" s="87"/>
      <c r="F129" s="86"/>
      <c r="G129" s="86"/>
      <c r="H129" s="86"/>
      <c r="I129" s="86"/>
      <c r="J129" s="87"/>
    </row>
    <row r="130" spans="1:10" x14ac:dyDescent="0.3">
      <c r="A130" s="86"/>
      <c r="B130" s="86"/>
      <c r="C130" s="86"/>
      <c r="D130" s="86"/>
      <c r="E130" s="87"/>
      <c r="F130" s="86"/>
      <c r="G130" s="86"/>
      <c r="H130" s="86"/>
      <c r="I130" s="86"/>
      <c r="J130" s="87"/>
    </row>
    <row r="131" spans="1:10" x14ac:dyDescent="0.3">
      <c r="A131" t="s">
        <v>115</v>
      </c>
      <c r="E131" s="6"/>
      <c r="F131" s="86"/>
      <c r="G131" s="86"/>
      <c r="H131" s="86"/>
      <c r="I131" s="86"/>
      <c r="J131" s="87"/>
    </row>
    <row r="132" spans="1:10" x14ac:dyDescent="0.3">
      <c r="A132" s="38">
        <f>A124*A120</f>
        <v>58.035714285714278</v>
      </c>
      <c r="B132" s="84" t="s">
        <v>116</v>
      </c>
      <c r="C132" s="85"/>
      <c r="D132" s="85"/>
      <c r="E132" s="95"/>
      <c r="F132" s="86"/>
      <c r="G132" s="86"/>
      <c r="H132" s="86"/>
      <c r="I132" s="86"/>
      <c r="J132" s="87"/>
    </row>
    <row r="133" spans="1:10" x14ac:dyDescent="0.3">
      <c r="E133" s="6"/>
      <c r="F133" t="s">
        <v>115</v>
      </c>
      <c r="J133" s="6"/>
    </row>
    <row r="134" spans="1:10" x14ac:dyDescent="0.3">
      <c r="E134" s="6"/>
      <c r="F134" s="38">
        <f>F126*F122</f>
        <v>80.357142857142847</v>
      </c>
      <c r="G134" s="84" t="s">
        <v>116</v>
      </c>
      <c r="H134" s="85"/>
      <c r="I134" s="85"/>
      <c r="J134" s="95"/>
    </row>
    <row r="135" spans="1:10" x14ac:dyDescent="0.3">
      <c r="E135" s="6"/>
      <c r="F135" s="69"/>
      <c r="G135" s="5"/>
      <c r="H135" s="5"/>
      <c r="I135" s="5"/>
      <c r="J135" s="5"/>
    </row>
    <row r="136" spans="1:10" x14ac:dyDescent="0.3">
      <c r="E136" s="6"/>
    </row>
    <row r="137" spans="1:10" x14ac:dyDescent="0.3">
      <c r="A137" s="11" t="s">
        <v>146</v>
      </c>
      <c r="B137" s="12"/>
      <c r="C137" s="12"/>
      <c r="D137" s="12"/>
      <c r="E137" s="14"/>
      <c r="F137" s="12"/>
      <c r="G137" s="12"/>
      <c r="H137" s="12"/>
      <c r="I137" s="12"/>
      <c r="J137" s="12"/>
    </row>
    <row r="138" spans="1:10" x14ac:dyDescent="0.3">
      <c r="E138" s="6"/>
    </row>
    <row r="139" spans="1:10" x14ac:dyDescent="0.3">
      <c r="A139" t="s">
        <v>12</v>
      </c>
      <c r="E139" s="6"/>
      <c r="F139" t="s">
        <v>13</v>
      </c>
    </row>
    <row r="140" spans="1:10" x14ac:dyDescent="0.3">
      <c r="E140" s="6"/>
    </row>
    <row r="141" spans="1:10" x14ac:dyDescent="0.3">
      <c r="A141" t="s">
        <v>66</v>
      </c>
      <c r="E141" s="6"/>
      <c r="F141" s="38">
        <f>SUM('Windsor Inventory'!$F$267:$F$270)</f>
        <v>502.93733994271616</v>
      </c>
      <c r="G141" t="s">
        <v>147</v>
      </c>
    </row>
    <row r="142" spans="1:10" x14ac:dyDescent="0.3">
      <c r="E142" s="6"/>
    </row>
    <row r="143" spans="1:10" x14ac:dyDescent="0.3">
      <c r="E143" s="6"/>
    </row>
    <row r="144" spans="1:10" x14ac:dyDescent="0.3">
      <c r="A144" s="11" t="s">
        <v>117</v>
      </c>
      <c r="B144" s="12"/>
      <c r="C144" s="12"/>
      <c r="D144" s="12"/>
      <c r="E144" s="14"/>
      <c r="F144" s="12"/>
      <c r="G144" s="12"/>
      <c r="H144" s="12"/>
      <c r="I144" s="12"/>
      <c r="J144" s="12"/>
    </row>
    <row r="145" spans="1:10" x14ac:dyDescent="0.3">
      <c r="E145" s="6"/>
    </row>
    <row r="146" spans="1:10" x14ac:dyDescent="0.3">
      <c r="A146" t="s">
        <v>12</v>
      </c>
      <c r="E146" s="6"/>
      <c r="F146" t="s">
        <v>13</v>
      </c>
    </row>
    <row r="147" spans="1:10" x14ac:dyDescent="0.3">
      <c r="A147" s="37">
        <f>A66</f>
        <v>2.1111</v>
      </c>
      <c r="B147" s="104" t="str">
        <f>B66</f>
        <v>lbs CO2e/dry ton for dewatering/thickening electricity</v>
      </c>
      <c r="C147" s="104"/>
      <c r="D147" s="104"/>
      <c r="E147" s="104"/>
      <c r="F147" s="38">
        <f>F52</f>
        <v>2.1111</v>
      </c>
      <c r="G147" s="104" t="str">
        <f>G52</f>
        <v>lbs CO2e/dry ton for dewatering/thickening electricity</v>
      </c>
      <c r="H147" s="104"/>
      <c r="I147" s="104"/>
      <c r="J147" s="104"/>
    </row>
    <row r="148" spans="1:10" x14ac:dyDescent="0.3">
      <c r="A148" s="37">
        <f>A103</f>
        <v>0.10594182857142855</v>
      </c>
      <c r="B148" s="104" t="str">
        <f>B103</f>
        <v>lbs CO2e/dry ton for chemical delivery</v>
      </c>
      <c r="C148" s="104"/>
      <c r="D148" s="104"/>
      <c r="E148" s="104"/>
      <c r="F148" s="38">
        <f>F80</f>
        <v>0.10594182857142855</v>
      </c>
      <c r="G148" s="104" t="str">
        <f>G80</f>
        <v>lbs CO2e/dry ton for chemical delivery</v>
      </c>
      <c r="H148" s="104"/>
      <c r="I148" s="104"/>
      <c r="J148" s="104"/>
    </row>
    <row r="149" spans="1:10" x14ac:dyDescent="0.3">
      <c r="A149" s="37">
        <f>A132</f>
        <v>58.035714285714278</v>
      </c>
      <c r="B149" s="104" t="str">
        <f>B132</f>
        <v>lbs CO2e/dry ton for offsite biosolids hauling</v>
      </c>
      <c r="C149" s="104"/>
      <c r="D149" s="104"/>
      <c r="E149" s="104"/>
      <c r="F149" s="38">
        <f>F134</f>
        <v>80.357142857142847</v>
      </c>
      <c r="G149" s="104" t="str">
        <f>G134</f>
        <v>lbs CO2e/dry ton for offsite biosolids hauling</v>
      </c>
      <c r="H149" s="104"/>
      <c r="I149" s="104"/>
      <c r="J149" s="104"/>
    </row>
    <row r="150" spans="1:10" ht="15" thickBot="1" x14ac:dyDescent="0.35">
      <c r="A150" s="70">
        <f>SUM(A147:A149)</f>
        <v>60.252756114285702</v>
      </c>
      <c r="B150" s="71" t="s">
        <v>118</v>
      </c>
      <c r="C150" s="71"/>
      <c r="D150" s="71"/>
      <c r="E150" s="72"/>
      <c r="F150" s="68">
        <f>F141</f>
        <v>502.93733994271616</v>
      </c>
      <c r="G150" s="111" t="str">
        <f>G141</f>
        <v>lbs CO2e/dry ton for biodrying and pyrolysis</v>
      </c>
      <c r="H150" s="111"/>
      <c r="I150" s="111"/>
      <c r="J150" s="111"/>
    </row>
    <row r="151" spans="1:10" ht="15" thickBot="1" x14ac:dyDescent="0.35">
      <c r="A151" s="74">
        <f>A150/2204.6</f>
        <v>2.7330470885550986E-2</v>
      </c>
      <c r="B151" s="41" t="s">
        <v>119</v>
      </c>
      <c r="C151" s="41"/>
      <c r="D151" s="41"/>
      <c r="E151" s="65"/>
      <c r="F151" s="64">
        <f>SUM(F147:F150)</f>
        <v>585.51152462843038</v>
      </c>
      <c r="G151" s="41" t="s">
        <v>118</v>
      </c>
      <c r="H151" s="41"/>
      <c r="I151" s="41"/>
      <c r="J151" s="42"/>
    </row>
    <row r="152" spans="1:10" ht="15" thickBot="1" x14ac:dyDescent="0.35">
      <c r="E152" s="6"/>
      <c r="F152" s="64">
        <f>F151/2204.6</f>
        <v>0.26558628532542428</v>
      </c>
      <c r="G152" s="41" t="s">
        <v>119</v>
      </c>
      <c r="H152" s="41"/>
      <c r="I152" s="41"/>
      <c r="J152" s="42"/>
    </row>
    <row r="153" spans="1:10" x14ac:dyDescent="0.3">
      <c r="E153" s="6"/>
    </row>
  </sheetData>
  <mergeCells count="25">
    <mergeCell ref="G150:J150"/>
    <mergeCell ref="G134:J134"/>
    <mergeCell ref="B147:E147"/>
    <mergeCell ref="G147:J147"/>
    <mergeCell ref="B148:E148"/>
    <mergeCell ref="G148:J148"/>
    <mergeCell ref="B149:E149"/>
    <mergeCell ref="G149:J149"/>
    <mergeCell ref="B66:E66"/>
    <mergeCell ref="F74:J76"/>
    <mergeCell ref="A96:E101"/>
    <mergeCell ref="A125:E130"/>
    <mergeCell ref="F127:J132"/>
    <mergeCell ref="B132:E132"/>
    <mergeCell ref="G52:J52"/>
    <mergeCell ref="B52:E52"/>
    <mergeCell ref="B53:E53"/>
    <mergeCell ref="B56:E56"/>
    <mergeCell ref="A59:D59"/>
    <mergeCell ref="B50:E50"/>
    <mergeCell ref="A13:I14"/>
    <mergeCell ref="A16:I21"/>
    <mergeCell ref="A23:I28"/>
    <mergeCell ref="A32:E32"/>
    <mergeCell ref="A44:E44"/>
  </mergeCells>
  <hyperlinks>
    <hyperlink ref="A63" r:id="rId1" display="https://sonomacleanpower.org/power-sources" xr:uid="{C8AFAD80-A89E-4E33-BD53-0451CDAE1EF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73118F-2530-4FB0-9C1D-AD92A932464A}">
  <dimension ref="A1:J150"/>
  <sheetViews>
    <sheetView topLeftCell="A58" workbookViewId="0">
      <selection activeCell="O90" sqref="O90"/>
    </sheetView>
  </sheetViews>
  <sheetFormatPr defaultRowHeight="14.4" x14ac:dyDescent="0.3"/>
  <sheetData>
    <row r="1" spans="1:10" ht="21" x14ac:dyDescent="0.4">
      <c r="A1" s="8" t="s">
        <v>0</v>
      </c>
      <c r="B1" s="9"/>
      <c r="C1" s="9"/>
      <c r="D1" s="9"/>
      <c r="E1" s="9"/>
      <c r="F1" s="9"/>
      <c r="G1" s="9"/>
      <c r="H1" s="9"/>
      <c r="I1" s="9"/>
      <c r="J1" s="9"/>
    </row>
    <row r="2" spans="1:10" ht="15.6" x14ac:dyDescent="0.3">
      <c r="A2" s="10" t="s">
        <v>202</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203</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20" spans="1:10" x14ac:dyDescent="0.3">
      <c r="A20" s="81" t="s">
        <v>122</v>
      </c>
      <c r="B20" s="81"/>
      <c r="C20" s="81"/>
      <c r="D20" s="81"/>
      <c r="E20" s="81"/>
      <c r="F20" s="81"/>
      <c r="G20" s="81"/>
      <c r="H20" s="81"/>
      <c r="I20" s="81"/>
    </row>
    <row r="21" spans="1:10" x14ac:dyDescent="0.3">
      <c r="A21" s="81"/>
      <c r="B21" s="81"/>
      <c r="C21" s="81"/>
      <c r="D21" s="81"/>
      <c r="E21" s="81"/>
      <c r="F21" s="81"/>
      <c r="G21" s="81"/>
      <c r="H21" s="81"/>
      <c r="I21" s="81"/>
    </row>
    <row r="22" spans="1:10" x14ac:dyDescent="0.3">
      <c r="A22" s="81"/>
      <c r="B22" s="81"/>
      <c r="C22" s="81"/>
      <c r="D22" s="81"/>
      <c r="E22" s="81"/>
      <c r="F22" s="81"/>
      <c r="G22" s="81"/>
      <c r="H22" s="81"/>
      <c r="I22" s="81"/>
    </row>
    <row r="23" spans="1:10" x14ac:dyDescent="0.3">
      <c r="A23" s="81"/>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11" t="s">
        <v>11</v>
      </c>
      <c r="B26" s="12"/>
      <c r="C26" s="12"/>
      <c r="D26" s="12"/>
      <c r="E26" s="14"/>
      <c r="F26" s="12"/>
      <c r="G26" s="12"/>
      <c r="H26" s="12"/>
      <c r="I26" s="12"/>
      <c r="J26" s="12"/>
    </row>
    <row r="27" spans="1:10" x14ac:dyDescent="0.3">
      <c r="E27" s="6"/>
    </row>
    <row r="28" spans="1:10" x14ac:dyDescent="0.3">
      <c r="A28" t="s">
        <v>12</v>
      </c>
      <c r="E28" s="6"/>
      <c r="F28" t="s">
        <v>13</v>
      </c>
    </row>
    <row r="29" spans="1:10" x14ac:dyDescent="0.3">
      <c r="A29" s="83" t="s">
        <v>204</v>
      </c>
      <c r="B29" s="83"/>
      <c r="C29" s="83"/>
      <c r="D29" s="83"/>
      <c r="E29" s="83"/>
      <c r="F29" t="s">
        <v>15</v>
      </c>
    </row>
    <row r="30" spans="1:10" x14ac:dyDescent="0.3">
      <c r="E30" s="6"/>
    </row>
    <row r="31" spans="1:10" x14ac:dyDescent="0.3">
      <c r="A31" s="11" t="s">
        <v>16</v>
      </c>
      <c r="B31" s="12"/>
      <c r="C31" s="12"/>
      <c r="D31" s="12"/>
      <c r="E31" s="14"/>
      <c r="F31" s="12"/>
      <c r="G31" s="12"/>
      <c r="H31" s="12"/>
      <c r="I31" s="12"/>
      <c r="J31" s="12"/>
    </row>
    <row r="32" spans="1:10" x14ac:dyDescent="0.3">
      <c r="E32" s="6"/>
    </row>
    <row r="33" spans="1:10" x14ac:dyDescent="0.3">
      <c r="A33" t="s">
        <v>12</v>
      </c>
      <c r="E33" s="6"/>
      <c r="F33" t="s">
        <v>13</v>
      </c>
    </row>
    <row r="34" spans="1:10" x14ac:dyDescent="0.3">
      <c r="A34">
        <v>2025</v>
      </c>
      <c r="B34" s="7">
        <v>0.27</v>
      </c>
      <c r="C34" t="s">
        <v>17</v>
      </c>
      <c r="E34" s="6"/>
      <c r="F34" t="s">
        <v>15</v>
      </c>
    </row>
    <row r="35" spans="1:10" x14ac:dyDescent="0.3">
      <c r="A35">
        <v>2030</v>
      </c>
      <c r="B35" s="7">
        <v>0.27</v>
      </c>
      <c r="C35" t="s">
        <v>17</v>
      </c>
      <c r="E35" s="6"/>
    </row>
    <row r="36" spans="1:10" x14ac:dyDescent="0.3">
      <c r="A36">
        <v>2035</v>
      </c>
      <c r="B36" s="7">
        <v>0.27</v>
      </c>
      <c r="C36" t="s">
        <v>17</v>
      </c>
      <c r="E36" s="6"/>
    </row>
    <row r="37" spans="1:10" x14ac:dyDescent="0.3">
      <c r="A37">
        <v>2040</v>
      </c>
      <c r="B37" s="7">
        <v>0.27</v>
      </c>
      <c r="C37" t="s">
        <v>17</v>
      </c>
      <c r="E37" s="6"/>
    </row>
    <row r="38" spans="1:10" x14ac:dyDescent="0.3">
      <c r="A38">
        <v>2045</v>
      </c>
      <c r="B38" s="7">
        <v>0.27</v>
      </c>
      <c r="C38" t="s">
        <v>17</v>
      </c>
      <c r="E38" s="6"/>
    </row>
    <row r="39" spans="1:10" x14ac:dyDescent="0.3">
      <c r="A39">
        <v>2050</v>
      </c>
      <c r="B39" s="7">
        <v>0.27</v>
      </c>
      <c r="C39" t="s">
        <v>17</v>
      </c>
      <c r="E39" s="6"/>
    </row>
    <row r="40" spans="1:10" x14ac:dyDescent="0.3">
      <c r="E40" s="6"/>
    </row>
    <row r="41" spans="1:10" x14ac:dyDescent="0.3">
      <c r="A41" s="86"/>
      <c r="B41" s="86"/>
      <c r="C41" s="86"/>
      <c r="D41" s="86"/>
      <c r="E41" s="87"/>
    </row>
    <row r="42" spans="1:10" x14ac:dyDescent="0.3">
      <c r="E42" s="6"/>
    </row>
    <row r="43" spans="1:10" x14ac:dyDescent="0.3">
      <c r="A43" s="11" t="s">
        <v>41</v>
      </c>
      <c r="B43" s="12"/>
      <c r="C43" s="12"/>
      <c r="D43" s="12"/>
      <c r="E43" s="14"/>
      <c r="F43" s="12"/>
      <c r="G43" s="12"/>
      <c r="H43" s="12"/>
      <c r="I43" s="12"/>
      <c r="J43" s="12"/>
    </row>
    <row r="44" spans="1:10" x14ac:dyDescent="0.3">
      <c r="E44" s="6"/>
    </row>
    <row r="45" spans="1:10" x14ac:dyDescent="0.3">
      <c r="A45" t="s">
        <v>12</v>
      </c>
      <c r="E45" s="6"/>
      <c r="F45" t="s">
        <v>13</v>
      </c>
    </row>
    <row r="46" spans="1:10" x14ac:dyDescent="0.3">
      <c r="E46" s="6"/>
      <c r="F46" t="s">
        <v>15</v>
      </c>
    </row>
    <row r="47" spans="1:10" ht="27.9" customHeight="1" x14ac:dyDescent="0.3">
      <c r="A47" s="66">
        <v>9</v>
      </c>
      <c r="B47" s="94" t="s">
        <v>195</v>
      </c>
      <c r="C47" s="81"/>
      <c r="D47" s="81"/>
      <c r="E47" s="82"/>
    </row>
    <row r="48" spans="1:10" x14ac:dyDescent="0.3">
      <c r="E48" s="6"/>
      <c r="F48" t="s">
        <v>62</v>
      </c>
    </row>
    <row r="49" spans="1:10" ht="30" customHeight="1" x14ac:dyDescent="0.3">
      <c r="A49" s="66">
        <v>4</v>
      </c>
      <c r="B49" s="94" t="s">
        <v>196</v>
      </c>
      <c r="C49" s="81"/>
      <c r="D49" s="81"/>
      <c r="E49" s="82"/>
      <c r="F49" s="37">
        <f>A63</f>
        <v>4.0133333333333336</v>
      </c>
      <c r="G49" s="85" t="str">
        <f>B63</f>
        <v>lbs CO2e/dry ton for dewatering/thickening electricity</v>
      </c>
      <c r="H49" s="85"/>
      <c r="I49" s="85"/>
      <c r="J49" s="85"/>
    </row>
    <row r="50" spans="1:10" x14ac:dyDescent="0.3">
      <c r="A50" s="66">
        <v>20</v>
      </c>
      <c r="B50" s="94" t="s">
        <v>197</v>
      </c>
      <c r="C50" s="81"/>
      <c r="D50" s="81"/>
      <c r="E50" s="82"/>
    </row>
    <row r="51" spans="1:10" x14ac:dyDescent="0.3">
      <c r="A51" s="20"/>
      <c r="E51" s="6"/>
    </row>
    <row r="52" spans="1:10" x14ac:dyDescent="0.3">
      <c r="A52" s="20"/>
      <c r="E52" s="6"/>
    </row>
    <row r="53" spans="1:10" ht="27" customHeight="1" x14ac:dyDescent="0.3">
      <c r="A53" s="73">
        <f>A50+A49+(A47/$B$34)</f>
        <v>57.333333333333329</v>
      </c>
      <c r="B53" s="94" t="s">
        <v>198</v>
      </c>
      <c r="C53" s="81"/>
      <c r="D53" s="81"/>
      <c r="E53" s="82"/>
    </row>
    <row r="54" spans="1:10" x14ac:dyDescent="0.3">
      <c r="E54" s="6"/>
    </row>
    <row r="55" spans="1:10" x14ac:dyDescent="0.3">
      <c r="A55" t="s">
        <v>57</v>
      </c>
      <c r="E55" s="6"/>
    </row>
    <row r="56" spans="1:10" x14ac:dyDescent="0.3">
      <c r="A56" s="88" t="s">
        <v>58</v>
      </c>
      <c r="B56" s="89"/>
      <c r="C56" s="89"/>
      <c r="D56" s="90"/>
      <c r="E56" s="6"/>
    </row>
    <row r="57" spans="1:10" x14ac:dyDescent="0.3">
      <c r="E57" s="6"/>
    </row>
    <row r="58" spans="1:10" x14ac:dyDescent="0.3">
      <c r="A58" t="s">
        <v>59</v>
      </c>
      <c r="E58" s="6"/>
    </row>
    <row r="59" spans="1:10" x14ac:dyDescent="0.3">
      <c r="A59" s="2">
        <v>70</v>
      </c>
      <c r="B59" t="s">
        <v>60</v>
      </c>
      <c r="E59" s="6"/>
    </row>
    <row r="60" spans="1:10" x14ac:dyDescent="0.3">
      <c r="A60" s="23" t="s">
        <v>61</v>
      </c>
      <c r="E60" s="6"/>
    </row>
    <row r="61" spans="1:10" x14ac:dyDescent="0.3">
      <c r="E61" s="6"/>
    </row>
    <row r="62" spans="1:10" x14ac:dyDescent="0.3">
      <c r="A62" t="s">
        <v>62</v>
      </c>
      <c r="E62" s="6"/>
    </row>
    <row r="63" spans="1:10" x14ac:dyDescent="0.3">
      <c r="A63" s="37">
        <f>(A59/1000)*A53</f>
        <v>4.0133333333333336</v>
      </c>
      <c r="B63" s="84" t="s">
        <v>64</v>
      </c>
      <c r="C63" s="85"/>
      <c r="D63" s="85"/>
      <c r="E63" s="95"/>
    </row>
    <row r="64" spans="1:10" x14ac:dyDescent="0.3">
      <c r="E64" s="6"/>
    </row>
    <row r="65" spans="1:10" x14ac:dyDescent="0.3">
      <c r="E65" s="6"/>
    </row>
    <row r="66" spans="1:10" x14ac:dyDescent="0.3">
      <c r="E66" s="6"/>
    </row>
    <row r="67" spans="1:10" x14ac:dyDescent="0.3">
      <c r="E67" s="6"/>
    </row>
    <row r="68" spans="1:10" x14ac:dyDescent="0.3">
      <c r="A68" s="11" t="s">
        <v>131</v>
      </c>
      <c r="B68" s="12"/>
      <c r="C68" s="12"/>
      <c r="D68" s="12"/>
      <c r="E68" s="14"/>
      <c r="F68" s="12"/>
      <c r="G68" s="12"/>
      <c r="H68" s="12"/>
      <c r="I68" s="12"/>
      <c r="J68" s="12"/>
    </row>
    <row r="69" spans="1:10" x14ac:dyDescent="0.3">
      <c r="E69" s="6"/>
    </row>
    <row r="70" spans="1:10" x14ac:dyDescent="0.3">
      <c r="A70" t="s">
        <v>12</v>
      </c>
      <c r="E70" s="6"/>
      <c r="F70" t="s">
        <v>13</v>
      </c>
    </row>
    <row r="71" spans="1:10" x14ac:dyDescent="0.3">
      <c r="E71" s="6"/>
      <c r="F71" s="81" t="s">
        <v>132</v>
      </c>
      <c r="G71" s="81"/>
      <c r="H71" s="81"/>
      <c r="I71" s="81"/>
      <c r="J71" s="81"/>
    </row>
    <row r="72" spans="1:10" x14ac:dyDescent="0.3">
      <c r="A72" t="s">
        <v>166</v>
      </c>
      <c r="E72" s="6"/>
      <c r="F72" s="81"/>
      <c r="G72" s="81"/>
      <c r="H72" s="81"/>
      <c r="I72" s="81"/>
      <c r="J72" s="81"/>
    </row>
    <row r="73" spans="1:10" x14ac:dyDescent="0.3">
      <c r="E73" s="6"/>
      <c r="F73" s="81"/>
      <c r="G73" s="81"/>
      <c r="H73" s="81"/>
      <c r="I73" s="81"/>
      <c r="J73" s="81"/>
    </row>
    <row r="74" spans="1:10" x14ac:dyDescent="0.3">
      <c r="A74" t="s">
        <v>90</v>
      </c>
      <c r="E74" s="6"/>
    </row>
    <row r="75" spans="1:10" x14ac:dyDescent="0.3">
      <c r="A75" s="28">
        <v>97</v>
      </c>
      <c r="B75" t="s">
        <v>199</v>
      </c>
      <c r="E75" s="6"/>
      <c r="F75" t="s">
        <v>168</v>
      </c>
    </row>
    <row r="76" spans="1:10" x14ac:dyDescent="0.3">
      <c r="A76" s="20"/>
      <c r="E76" s="6"/>
      <c r="F76" t="s">
        <v>105</v>
      </c>
    </row>
    <row r="77" spans="1:10" x14ac:dyDescent="0.3">
      <c r="E77" s="6"/>
      <c r="F77" s="27">
        <f>A100</f>
        <v>0.11527964999999996</v>
      </c>
      <c r="G77" t="str">
        <f>B100</f>
        <v>lbs CO2e/dry ton for chemical delivery</v>
      </c>
    </row>
    <row r="78" spans="1:10" x14ac:dyDescent="0.3">
      <c r="A78" t="s">
        <v>93</v>
      </c>
      <c r="E78" s="6"/>
    </row>
    <row r="79" spans="1:10" x14ac:dyDescent="0.3">
      <c r="E79" s="6"/>
    </row>
    <row r="80" spans="1:10" x14ac:dyDescent="0.3">
      <c r="A80" s="28">
        <v>0.7</v>
      </c>
      <c r="B80" t="s">
        <v>169</v>
      </c>
      <c r="E80" s="6"/>
    </row>
    <row r="81" spans="1:5" x14ac:dyDescent="0.3">
      <c r="A81" s="30">
        <v>1.1399999999999999</v>
      </c>
      <c r="B81" t="s">
        <v>139</v>
      </c>
      <c r="E81" s="6"/>
    </row>
    <row r="82" spans="1:5" x14ac:dyDescent="0.3">
      <c r="A82" s="34">
        <f>8.34*A81</f>
        <v>9.5075999999999983</v>
      </c>
      <c r="B82" t="s">
        <v>140</v>
      </c>
      <c r="E82" s="6"/>
    </row>
    <row r="83" spans="1:5" x14ac:dyDescent="0.3">
      <c r="A83" s="33">
        <f>A82*A80</f>
        <v>6.6553199999999988</v>
      </c>
      <c r="B83" t="s">
        <v>141</v>
      </c>
      <c r="E83" s="6"/>
    </row>
    <row r="84" spans="1:5" x14ac:dyDescent="0.3">
      <c r="E84" s="6"/>
    </row>
    <row r="85" spans="1:5" x14ac:dyDescent="0.3">
      <c r="E85" s="6"/>
    </row>
    <row r="86" spans="1:5" x14ac:dyDescent="0.3">
      <c r="A86" t="s">
        <v>86</v>
      </c>
      <c r="E86" s="6"/>
    </row>
    <row r="87" spans="1:5" x14ac:dyDescent="0.3">
      <c r="E87" s="6"/>
    </row>
    <row r="88" spans="1:5" x14ac:dyDescent="0.3">
      <c r="A88" s="34">
        <f>((A83)/2000)*A75</f>
        <v>0.32278301999999992</v>
      </c>
      <c r="B88" t="s">
        <v>171</v>
      </c>
      <c r="E88" s="6"/>
    </row>
    <row r="89" spans="1:5" x14ac:dyDescent="0.3">
      <c r="A89" s="51"/>
      <c r="B89" s="20"/>
      <c r="C89" s="20"/>
      <c r="D89" s="20"/>
      <c r="E89" s="52"/>
    </row>
    <row r="90" spans="1:5" x14ac:dyDescent="0.3">
      <c r="E90" s="6"/>
    </row>
    <row r="91" spans="1:5" x14ac:dyDescent="0.3">
      <c r="A91" s="30">
        <v>162</v>
      </c>
      <c r="B91" t="s">
        <v>102</v>
      </c>
      <c r="E91" s="6"/>
    </row>
    <row r="92" spans="1:5" x14ac:dyDescent="0.3">
      <c r="A92" s="33">
        <f>A91*(1/453.6)</f>
        <v>0.3571428571428571</v>
      </c>
      <c r="B92" t="s">
        <v>103</v>
      </c>
      <c r="E92" s="6"/>
    </row>
    <row r="93" spans="1:5" x14ac:dyDescent="0.3">
      <c r="A93" s="86" t="s">
        <v>104</v>
      </c>
      <c r="B93" s="86"/>
      <c r="C93" s="86"/>
      <c r="D93" s="86"/>
      <c r="E93" s="87"/>
    </row>
    <row r="94" spans="1:5" x14ac:dyDescent="0.3">
      <c r="A94" s="86"/>
      <c r="B94" s="86"/>
      <c r="C94" s="86"/>
      <c r="D94" s="86"/>
      <c r="E94" s="87"/>
    </row>
    <row r="95" spans="1:5" x14ac:dyDescent="0.3">
      <c r="A95" s="86"/>
      <c r="B95" s="86"/>
      <c r="C95" s="86"/>
      <c r="D95" s="86"/>
      <c r="E95" s="87"/>
    </row>
    <row r="96" spans="1:5" x14ac:dyDescent="0.3">
      <c r="A96" s="86"/>
      <c r="B96" s="86"/>
      <c r="C96" s="86"/>
      <c r="D96" s="86"/>
      <c r="E96" s="87"/>
    </row>
    <row r="97" spans="1:10" x14ac:dyDescent="0.3">
      <c r="A97" s="86"/>
      <c r="B97" s="86"/>
      <c r="C97" s="86"/>
      <c r="D97" s="86"/>
      <c r="E97" s="87"/>
    </row>
    <row r="98" spans="1:10" x14ac:dyDescent="0.3">
      <c r="A98" s="86"/>
      <c r="B98" s="86"/>
      <c r="C98" s="86"/>
      <c r="D98" s="86"/>
      <c r="E98" s="87"/>
    </row>
    <row r="99" spans="1:10" x14ac:dyDescent="0.3">
      <c r="A99" t="s">
        <v>105</v>
      </c>
      <c r="E99" s="6"/>
    </row>
    <row r="100" spans="1:10" x14ac:dyDescent="0.3">
      <c r="A100" s="27">
        <f>A92*A88</f>
        <v>0.11527964999999996</v>
      </c>
      <c r="B100" t="s">
        <v>106</v>
      </c>
      <c r="E100" s="6"/>
    </row>
    <row r="101" spans="1:10" x14ac:dyDescent="0.3">
      <c r="E101" s="6"/>
    </row>
    <row r="102" spans="1:10" x14ac:dyDescent="0.3">
      <c r="A102" s="11" t="s">
        <v>107</v>
      </c>
      <c r="B102" s="12"/>
      <c r="C102" s="12"/>
      <c r="D102" s="12"/>
      <c r="E102" s="14"/>
      <c r="F102" s="12"/>
      <c r="G102" s="12"/>
      <c r="H102" s="12"/>
      <c r="I102" s="12"/>
      <c r="J102" s="12"/>
    </row>
    <row r="103" spans="1:10" x14ac:dyDescent="0.3">
      <c r="E103" s="6"/>
    </row>
    <row r="104" spans="1:10" x14ac:dyDescent="0.3">
      <c r="A104" t="s">
        <v>12</v>
      </c>
      <c r="E104" s="6"/>
      <c r="F104" t="s">
        <v>13</v>
      </c>
    </row>
    <row r="105" spans="1:10" x14ac:dyDescent="0.3">
      <c r="E105" s="6"/>
    </row>
    <row r="106" spans="1:10" x14ac:dyDescent="0.3">
      <c r="A106" t="s">
        <v>108</v>
      </c>
      <c r="E106" s="6"/>
      <c r="F106" t="s">
        <v>108</v>
      </c>
      <c r="J106" s="6"/>
    </row>
    <row r="107" spans="1:10" x14ac:dyDescent="0.3">
      <c r="A107" s="3">
        <v>44</v>
      </c>
      <c r="B107" t="s">
        <v>205</v>
      </c>
      <c r="E107" s="6"/>
      <c r="F107" s="3">
        <v>18</v>
      </c>
      <c r="G107" t="s">
        <v>206</v>
      </c>
      <c r="J107" s="6"/>
    </row>
    <row r="108" spans="1:10" x14ac:dyDescent="0.3">
      <c r="E108" s="6"/>
      <c r="F108" s="53"/>
    </row>
    <row r="109" spans="1:10" x14ac:dyDescent="0.3">
      <c r="A109" t="s">
        <v>111</v>
      </c>
      <c r="E109" s="6"/>
      <c r="F109" s="20" t="s">
        <v>207</v>
      </c>
    </row>
    <row r="110" spans="1:10" x14ac:dyDescent="0.3">
      <c r="A110" s="35">
        <v>0.15</v>
      </c>
      <c r="E110" s="6"/>
      <c r="J110" s="6"/>
    </row>
    <row r="111" spans="1:10" x14ac:dyDescent="0.3">
      <c r="E111" s="6"/>
      <c r="F111" t="s">
        <v>111</v>
      </c>
      <c r="J111" s="6"/>
    </row>
    <row r="112" spans="1:10" x14ac:dyDescent="0.3">
      <c r="A112" t="s">
        <v>112</v>
      </c>
      <c r="E112" s="6"/>
      <c r="F112" s="63">
        <v>0.15</v>
      </c>
      <c r="J112" s="6"/>
    </row>
    <row r="113" spans="1:10" x14ac:dyDescent="0.3">
      <c r="A113" s="17">
        <f>1/A110</f>
        <v>6.666666666666667</v>
      </c>
      <c r="B113" t="s">
        <v>113</v>
      </c>
      <c r="E113" s="6"/>
      <c r="J113" s="6"/>
    </row>
    <row r="114" spans="1:10" x14ac:dyDescent="0.3">
      <c r="E114" s="6"/>
      <c r="F114" t="s">
        <v>112</v>
      </c>
      <c r="J114" s="6"/>
    </row>
    <row r="115" spans="1:10" x14ac:dyDescent="0.3">
      <c r="A115" t="s">
        <v>86</v>
      </c>
      <c r="E115" s="6"/>
      <c r="F115" s="33">
        <f>1/F112</f>
        <v>6.666666666666667</v>
      </c>
      <c r="G115" t="s">
        <v>113</v>
      </c>
      <c r="J115" s="6"/>
    </row>
    <row r="116" spans="1:10" x14ac:dyDescent="0.3">
      <c r="E116" s="6"/>
      <c r="J116" s="6"/>
    </row>
    <row r="117" spans="1:10" x14ac:dyDescent="0.3">
      <c r="A117" s="29">
        <f>A113*AVERAGE(A107:A107)</f>
        <v>293.33333333333337</v>
      </c>
      <c r="B117" t="s">
        <v>114</v>
      </c>
      <c r="E117" s="6"/>
      <c r="F117" t="s">
        <v>86</v>
      </c>
      <c r="J117" s="6"/>
    </row>
    <row r="118" spans="1:10" x14ac:dyDescent="0.3">
      <c r="A118" s="20" t="s">
        <v>145</v>
      </c>
      <c r="E118" s="6"/>
      <c r="J118" s="6"/>
    </row>
    <row r="119" spans="1:10" x14ac:dyDescent="0.3">
      <c r="A119" s="20"/>
      <c r="E119" s="6"/>
      <c r="F119" s="29">
        <f>F115*AVERAGE(F107:F109)</f>
        <v>120</v>
      </c>
      <c r="G119" t="s">
        <v>114</v>
      </c>
      <c r="J119" s="6"/>
    </row>
    <row r="120" spans="1:10" x14ac:dyDescent="0.3">
      <c r="A120" s="30">
        <v>162</v>
      </c>
      <c r="B120" t="s">
        <v>102</v>
      </c>
      <c r="E120" s="6"/>
      <c r="F120" s="20" t="s">
        <v>145</v>
      </c>
      <c r="J120" s="6"/>
    </row>
    <row r="121" spans="1:10" x14ac:dyDescent="0.3">
      <c r="A121" s="33">
        <f>A120*(1/453.6)</f>
        <v>0.3571428571428571</v>
      </c>
      <c r="B121" t="s">
        <v>103</v>
      </c>
      <c r="E121" s="6"/>
      <c r="F121" s="20"/>
      <c r="J121" s="6"/>
    </row>
    <row r="122" spans="1:10" x14ac:dyDescent="0.3">
      <c r="A122" s="86" t="s">
        <v>104</v>
      </c>
      <c r="B122" s="86"/>
      <c r="C122" s="86"/>
      <c r="D122" s="86"/>
      <c r="E122" s="87"/>
      <c r="F122" s="30">
        <v>162</v>
      </c>
      <c r="G122" t="s">
        <v>102</v>
      </c>
      <c r="J122" s="6"/>
    </row>
    <row r="123" spans="1:10" x14ac:dyDescent="0.3">
      <c r="A123" s="86"/>
      <c r="B123" s="86"/>
      <c r="C123" s="86"/>
      <c r="D123" s="86"/>
      <c r="E123" s="87"/>
      <c r="F123" s="33">
        <f>F122*(1/453.6)</f>
        <v>0.3571428571428571</v>
      </c>
      <c r="G123" t="s">
        <v>103</v>
      </c>
      <c r="J123" s="6"/>
    </row>
    <row r="124" spans="1:10" x14ac:dyDescent="0.3">
      <c r="A124" s="86"/>
      <c r="B124" s="86"/>
      <c r="C124" s="86"/>
      <c r="D124" s="86"/>
      <c r="E124" s="87"/>
      <c r="F124" s="86" t="s">
        <v>104</v>
      </c>
      <c r="G124" s="86"/>
      <c r="H124" s="86"/>
      <c r="I124" s="86"/>
      <c r="J124" s="87"/>
    </row>
    <row r="125" spans="1:10" x14ac:dyDescent="0.3">
      <c r="A125" s="86"/>
      <c r="B125" s="86"/>
      <c r="C125" s="86"/>
      <c r="D125" s="86"/>
      <c r="E125" s="87"/>
      <c r="F125" s="86"/>
      <c r="G125" s="86"/>
      <c r="H125" s="86"/>
      <c r="I125" s="86"/>
      <c r="J125" s="87"/>
    </row>
    <row r="126" spans="1:10" x14ac:dyDescent="0.3">
      <c r="A126" s="86"/>
      <c r="B126" s="86"/>
      <c r="C126" s="86"/>
      <c r="D126" s="86"/>
      <c r="E126" s="87"/>
      <c r="F126" s="86"/>
      <c r="G126" s="86"/>
      <c r="H126" s="86"/>
      <c r="I126" s="86"/>
      <c r="J126" s="87"/>
    </row>
    <row r="127" spans="1:10" x14ac:dyDescent="0.3">
      <c r="A127" s="86"/>
      <c r="B127" s="86"/>
      <c r="C127" s="86"/>
      <c r="D127" s="86"/>
      <c r="E127" s="87"/>
      <c r="F127" s="86"/>
      <c r="G127" s="86"/>
      <c r="H127" s="86"/>
      <c r="I127" s="86"/>
      <c r="J127" s="87"/>
    </row>
    <row r="128" spans="1:10" x14ac:dyDescent="0.3">
      <c r="A128" t="s">
        <v>115</v>
      </c>
      <c r="E128" s="6"/>
      <c r="F128" s="86"/>
      <c r="G128" s="86"/>
      <c r="H128" s="86"/>
      <c r="I128" s="86"/>
      <c r="J128" s="87"/>
    </row>
    <row r="129" spans="1:10" x14ac:dyDescent="0.3">
      <c r="A129" s="38">
        <f>A121*A117</f>
        <v>104.76190476190476</v>
      </c>
      <c r="B129" s="84" t="s">
        <v>116</v>
      </c>
      <c r="C129" s="85"/>
      <c r="D129" s="85"/>
      <c r="E129" s="95"/>
      <c r="F129" s="86"/>
      <c r="G129" s="86"/>
      <c r="H129" s="86"/>
      <c r="I129" s="86"/>
      <c r="J129" s="87"/>
    </row>
    <row r="130" spans="1:10" x14ac:dyDescent="0.3">
      <c r="E130" s="6"/>
      <c r="F130" t="s">
        <v>115</v>
      </c>
      <c r="J130" s="6"/>
    </row>
    <row r="131" spans="1:10" x14ac:dyDescent="0.3">
      <c r="E131" s="6"/>
      <c r="F131" s="38">
        <f>F123*F119</f>
        <v>42.857142857142854</v>
      </c>
      <c r="G131" s="84" t="s">
        <v>116</v>
      </c>
      <c r="H131" s="85"/>
      <c r="I131" s="85"/>
      <c r="J131" s="95"/>
    </row>
    <row r="132" spans="1:10" x14ac:dyDescent="0.3">
      <c r="E132" s="6"/>
      <c r="F132" s="69"/>
      <c r="G132" s="5"/>
      <c r="H132" s="5"/>
      <c r="I132" s="5"/>
      <c r="J132" s="5"/>
    </row>
    <row r="133" spans="1:10" x14ac:dyDescent="0.3">
      <c r="E133" s="6"/>
    </row>
    <row r="134" spans="1:10" x14ac:dyDescent="0.3">
      <c r="A134" s="11" t="s">
        <v>146</v>
      </c>
      <c r="B134" s="12"/>
      <c r="C134" s="12"/>
      <c r="D134" s="12"/>
      <c r="E134" s="14"/>
      <c r="F134" s="12"/>
      <c r="G134" s="12"/>
      <c r="H134" s="12"/>
      <c r="I134" s="12"/>
      <c r="J134" s="12"/>
    </row>
    <row r="135" spans="1:10" x14ac:dyDescent="0.3">
      <c r="E135" s="6"/>
    </row>
    <row r="136" spans="1:10" x14ac:dyDescent="0.3">
      <c r="A136" t="s">
        <v>12</v>
      </c>
      <c r="E136" s="6"/>
      <c r="F136" t="s">
        <v>13</v>
      </c>
    </row>
    <row r="137" spans="1:10" x14ac:dyDescent="0.3">
      <c r="E137" s="6"/>
    </row>
    <row r="138" spans="1:10" x14ac:dyDescent="0.3">
      <c r="A138" t="s">
        <v>66</v>
      </c>
      <c r="E138" s="6"/>
      <c r="F138" s="38">
        <f>SUM('Windsor Inventory'!$F$267:$F$270)</f>
        <v>502.93733994271616</v>
      </c>
      <c r="G138" t="s">
        <v>147</v>
      </c>
    </row>
    <row r="139" spans="1:10" x14ac:dyDescent="0.3">
      <c r="E139" s="6"/>
    </row>
    <row r="140" spans="1:10" x14ac:dyDescent="0.3">
      <c r="E140" s="6"/>
    </row>
    <row r="141" spans="1:10" x14ac:dyDescent="0.3">
      <c r="A141" s="11" t="s">
        <v>117</v>
      </c>
      <c r="B141" s="12"/>
      <c r="C141" s="12"/>
      <c r="D141" s="12"/>
      <c r="E141" s="14"/>
      <c r="F141" s="12"/>
      <c r="G141" s="12"/>
      <c r="H141" s="12"/>
      <c r="I141" s="12"/>
      <c r="J141" s="12"/>
    </row>
    <row r="142" spans="1:10" x14ac:dyDescent="0.3">
      <c r="E142" s="6"/>
    </row>
    <row r="143" spans="1:10" x14ac:dyDescent="0.3">
      <c r="A143" t="s">
        <v>12</v>
      </c>
      <c r="E143" s="6"/>
      <c r="F143" t="s">
        <v>13</v>
      </c>
    </row>
    <row r="144" spans="1:10" x14ac:dyDescent="0.3">
      <c r="A144" s="37">
        <f>A63</f>
        <v>4.0133333333333336</v>
      </c>
      <c r="B144" s="104" t="str">
        <f>B63</f>
        <v>lbs CO2e/dry ton for dewatering/thickening electricity</v>
      </c>
      <c r="C144" s="104"/>
      <c r="D144" s="104"/>
      <c r="E144" s="104"/>
      <c r="F144" s="38">
        <f>F49</f>
        <v>4.0133333333333336</v>
      </c>
      <c r="G144" s="104" t="str">
        <f>G49</f>
        <v>lbs CO2e/dry ton for dewatering/thickening electricity</v>
      </c>
      <c r="H144" s="104"/>
      <c r="I144" s="104"/>
      <c r="J144" s="104"/>
    </row>
    <row r="145" spans="1:10" x14ac:dyDescent="0.3">
      <c r="A145" s="37">
        <f>A100</f>
        <v>0.11527964999999996</v>
      </c>
      <c r="B145" s="104" t="str">
        <f>B100</f>
        <v>lbs CO2e/dry ton for chemical delivery</v>
      </c>
      <c r="C145" s="104"/>
      <c r="D145" s="104"/>
      <c r="E145" s="104"/>
      <c r="F145" s="38">
        <f>F77</f>
        <v>0.11527964999999996</v>
      </c>
      <c r="G145" s="104" t="str">
        <f>G77</f>
        <v>lbs CO2e/dry ton for chemical delivery</v>
      </c>
      <c r="H145" s="104"/>
      <c r="I145" s="104"/>
      <c r="J145" s="104"/>
    </row>
    <row r="146" spans="1:10" x14ac:dyDescent="0.3">
      <c r="A146" s="37">
        <f>A129</f>
        <v>104.76190476190476</v>
      </c>
      <c r="B146" s="104" t="str">
        <f>B129</f>
        <v>lbs CO2e/dry ton for offsite biosolids hauling</v>
      </c>
      <c r="C146" s="104"/>
      <c r="D146" s="104"/>
      <c r="E146" s="104"/>
      <c r="F146" s="38">
        <f>F131</f>
        <v>42.857142857142854</v>
      </c>
      <c r="G146" s="104" t="str">
        <f>G131</f>
        <v>lbs CO2e/dry ton for offsite biosolids hauling</v>
      </c>
      <c r="H146" s="104"/>
      <c r="I146" s="104"/>
      <c r="J146" s="104"/>
    </row>
    <row r="147" spans="1:10" ht="15" thickBot="1" x14ac:dyDescent="0.35">
      <c r="A147" s="70">
        <f>SUM(A144:A146)</f>
        <v>108.8905177452381</v>
      </c>
      <c r="B147" s="71" t="s">
        <v>118</v>
      </c>
      <c r="C147" s="71"/>
      <c r="D147" s="71"/>
      <c r="E147" s="72"/>
      <c r="F147" s="68">
        <f>F138</f>
        <v>502.93733994271616</v>
      </c>
      <c r="G147" s="111" t="str">
        <f>G138</f>
        <v>lbs CO2e/dry ton for biodrying and pyrolysis</v>
      </c>
      <c r="H147" s="111"/>
      <c r="I147" s="111"/>
      <c r="J147" s="111"/>
    </row>
    <row r="148" spans="1:10" ht="15" thickBot="1" x14ac:dyDescent="0.35">
      <c r="A148" s="74">
        <f>A147/2204.6</f>
        <v>4.9392414834998684E-2</v>
      </c>
      <c r="B148" s="41" t="s">
        <v>119</v>
      </c>
      <c r="C148" s="41"/>
      <c r="D148" s="41"/>
      <c r="E148" s="65"/>
      <c r="F148" s="64">
        <f>SUM(F144:F147)</f>
        <v>549.92309578319237</v>
      </c>
      <c r="G148" s="41" t="s">
        <v>118</v>
      </c>
      <c r="H148" s="41"/>
      <c r="I148" s="41"/>
      <c r="J148" s="42"/>
    </row>
    <row r="149" spans="1:10" ht="15" thickBot="1" x14ac:dyDescent="0.35">
      <c r="E149" s="6"/>
      <c r="F149" s="64">
        <f>F148/2204.6</f>
        <v>0.24944347989802793</v>
      </c>
      <c r="G149" s="41" t="s">
        <v>119</v>
      </c>
      <c r="H149" s="41"/>
      <c r="I149" s="41"/>
      <c r="J149" s="42"/>
    </row>
    <row r="150" spans="1:10" x14ac:dyDescent="0.3">
      <c r="E150" s="6"/>
    </row>
  </sheetData>
  <mergeCells count="25">
    <mergeCell ref="G147:J147"/>
    <mergeCell ref="B144:E144"/>
    <mergeCell ref="G144:J144"/>
    <mergeCell ref="B145:E145"/>
    <mergeCell ref="G145:J145"/>
    <mergeCell ref="B146:E146"/>
    <mergeCell ref="G146:J146"/>
    <mergeCell ref="G131:J131"/>
    <mergeCell ref="B49:E49"/>
    <mergeCell ref="G49:J49"/>
    <mergeCell ref="B50:E50"/>
    <mergeCell ref="B53:E53"/>
    <mergeCell ref="A56:D56"/>
    <mergeCell ref="B63:E63"/>
    <mergeCell ref="F71:J73"/>
    <mergeCell ref="A93:E98"/>
    <mergeCell ref="A122:E127"/>
    <mergeCell ref="F124:J129"/>
    <mergeCell ref="B129:E129"/>
    <mergeCell ref="B47:E47"/>
    <mergeCell ref="A13:I14"/>
    <mergeCell ref="A16:I18"/>
    <mergeCell ref="A20:I25"/>
    <mergeCell ref="A29:E29"/>
    <mergeCell ref="A41:E41"/>
  </mergeCells>
  <hyperlinks>
    <hyperlink ref="A60" r:id="rId1" display="https://sonomacleanpower.org/power-sources" xr:uid="{1D9380C3-9969-402F-8231-EC7BE2890FC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31A4B-93B0-4374-9571-E5D45F4D7B5E}">
  <dimension ref="A1:J107"/>
  <sheetViews>
    <sheetView topLeftCell="A21" workbookViewId="0">
      <selection activeCell="L91" sqref="L91"/>
    </sheetView>
  </sheetViews>
  <sheetFormatPr defaultRowHeight="14.4" x14ac:dyDescent="0.3"/>
  <sheetData>
    <row r="1" spans="1:10" ht="21" x14ac:dyDescent="0.4">
      <c r="A1" s="8" t="s">
        <v>0</v>
      </c>
      <c r="B1" s="9"/>
      <c r="C1" s="9"/>
      <c r="D1" s="9"/>
      <c r="E1" s="9"/>
      <c r="F1" s="9"/>
      <c r="G1" s="9"/>
      <c r="H1" s="9"/>
      <c r="I1" s="9"/>
      <c r="J1" s="9"/>
    </row>
    <row r="2" spans="1:10" ht="15.6" x14ac:dyDescent="0.3">
      <c r="A2" s="10" t="s">
        <v>208</v>
      </c>
      <c r="B2" s="9"/>
      <c r="C2" s="9"/>
      <c r="D2" s="9"/>
      <c r="E2" s="9"/>
      <c r="F2" s="9"/>
      <c r="G2" s="9"/>
      <c r="H2" s="9"/>
      <c r="I2" s="9"/>
      <c r="J2" s="9"/>
    </row>
    <row r="4" spans="1:10" x14ac:dyDescent="0.3">
      <c r="A4" s="1" t="s">
        <v>2</v>
      </c>
    </row>
    <row r="6" spans="1:10" x14ac:dyDescent="0.3">
      <c r="A6" s="3"/>
      <c r="B6" t="s">
        <v>3</v>
      </c>
    </row>
    <row r="7" spans="1:10" x14ac:dyDescent="0.3">
      <c r="A7" s="2"/>
      <c r="B7" t="s">
        <v>4</v>
      </c>
    </row>
    <row r="8" spans="1:10" x14ac:dyDescent="0.3">
      <c r="A8" s="13"/>
      <c r="B8" t="s">
        <v>5</v>
      </c>
    </row>
    <row r="9" spans="1:10" x14ac:dyDescent="0.3">
      <c r="A9" s="4"/>
      <c r="B9" t="s">
        <v>6</v>
      </c>
    </row>
    <row r="11" spans="1:10" x14ac:dyDescent="0.3">
      <c r="A11" s="11" t="s">
        <v>7</v>
      </c>
      <c r="B11" s="12"/>
      <c r="C11" s="12"/>
      <c r="D11" s="12"/>
      <c r="E11" s="12"/>
      <c r="F11" s="12"/>
      <c r="G11" s="12"/>
      <c r="H11" s="12"/>
      <c r="I11" s="12"/>
      <c r="J11" s="12"/>
    </row>
    <row r="13" spans="1:10" x14ac:dyDescent="0.3">
      <c r="A13" s="81" t="s">
        <v>8</v>
      </c>
      <c r="B13" s="81"/>
      <c r="C13" s="81"/>
      <c r="D13" s="81"/>
      <c r="E13" s="81"/>
      <c r="F13" s="81"/>
      <c r="G13" s="81"/>
      <c r="H13" s="81"/>
      <c r="I13" s="81"/>
    </row>
    <row r="14" spans="1:10" x14ac:dyDescent="0.3">
      <c r="A14" s="81"/>
      <c r="B14" s="81"/>
      <c r="C14" s="81"/>
      <c r="D14" s="81"/>
      <c r="E14" s="81"/>
      <c r="F14" s="81"/>
      <c r="G14" s="81"/>
      <c r="H14" s="81"/>
      <c r="I14" s="81"/>
    </row>
    <row r="16" spans="1:10" x14ac:dyDescent="0.3">
      <c r="A16" s="81" t="s">
        <v>209</v>
      </c>
      <c r="B16" s="81"/>
      <c r="C16" s="81"/>
      <c r="D16" s="81"/>
      <c r="E16" s="81"/>
      <c r="F16" s="81"/>
      <c r="G16" s="81"/>
      <c r="H16" s="81"/>
      <c r="I16" s="81"/>
    </row>
    <row r="17" spans="1:10" x14ac:dyDescent="0.3">
      <c r="A17" s="81"/>
      <c r="B17" s="81"/>
      <c r="C17" s="81"/>
      <c r="D17" s="81"/>
      <c r="E17" s="81"/>
      <c r="F17" s="81"/>
      <c r="G17" s="81"/>
      <c r="H17" s="81"/>
      <c r="I17" s="81"/>
    </row>
    <row r="18" spans="1:10" x14ac:dyDescent="0.3">
      <c r="A18" s="81"/>
      <c r="B18" s="81"/>
      <c r="C18" s="81"/>
      <c r="D18" s="81"/>
      <c r="E18" s="81"/>
      <c r="F18" s="81"/>
      <c r="G18" s="81"/>
      <c r="H18" s="81"/>
      <c r="I18" s="81"/>
    </row>
    <row r="20" spans="1:10" x14ac:dyDescent="0.3">
      <c r="A20" s="81" t="s">
        <v>210</v>
      </c>
      <c r="B20" s="81"/>
      <c r="C20" s="81"/>
      <c r="D20" s="81"/>
      <c r="E20" s="81"/>
      <c r="F20" s="81"/>
      <c r="G20" s="81"/>
      <c r="H20" s="81"/>
      <c r="I20" s="81"/>
    </row>
    <row r="21" spans="1:10" x14ac:dyDescent="0.3">
      <c r="A21" s="81"/>
      <c r="B21" s="81"/>
      <c r="C21" s="81"/>
      <c r="D21" s="81"/>
      <c r="E21" s="81"/>
      <c r="F21" s="81"/>
      <c r="G21" s="81"/>
      <c r="H21" s="81"/>
      <c r="I21" s="81"/>
    </row>
    <row r="22" spans="1:10" x14ac:dyDescent="0.3">
      <c r="A22" s="81"/>
      <c r="B22" s="81"/>
      <c r="C22" s="81"/>
      <c r="D22" s="81"/>
      <c r="E22" s="81"/>
      <c r="F22" s="81"/>
      <c r="G22" s="81"/>
      <c r="H22" s="81"/>
      <c r="I22" s="81"/>
    </row>
    <row r="23" spans="1:10" x14ac:dyDescent="0.3">
      <c r="A23" s="81"/>
      <c r="B23" s="81"/>
      <c r="C23" s="81"/>
      <c r="D23" s="81"/>
      <c r="E23" s="81"/>
      <c r="F23" s="81"/>
      <c r="G23" s="81"/>
      <c r="H23" s="81"/>
      <c r="I23" s="81"/>
    </row>
    <row r="24" spans="1:10" x14ac:dyDescent="0.3">
      <c r="A24" s="81"/>
      <c r="B24" s="81"/>
      <c r="C24" s="81"/>
      <c r="D24" s="81"/>
      <c r="E24" s="81"/>
      <c r="F24" s="81"/>
      <c r="G24" s="81"/>
      <c r="H24" s="81"/>
      <c r="I24" s="81"/>
    </row>
    <row r="25" spans="1:10" x14ac:dyDescent="0.3">
      <c r="A25" s="81"/>
      <c r="B25" s="81"/>
      <c r="C25" s="81"/>
      <c r="D25" s="81"/>
      <c r="E25" s="81"/>
      <c r="F25" s="81"/>
      <c r="G25" s="81"/>
      <c r="H25" s="81"/>
      <c r="I25" s="81"/>
    </row>
    <row r="26" spans="1:10" x14ac:dyDescent="0.3">
      <c r="A26" s="11" t="s">
        <v>11</v>
      </c>
      <c r="B26" s="12"/>
      <c r="C26" s="12"/>
      <c r="D26" s="12"/>
      <c r="E26" s="14"/>
      <c r="F26" s="76"/>
      <c r="G26" s="12"/>
      <c r="H26" s="12"/>
      <c r="I26" s="12"/>
      <c r="J26" s="14"/>
    </row>
    <row r="27" spans="1:10" x14ac:dyDescent="0.3">
      <c r="E27" s="6"/>
      <c r="F27" s="77"/>
      <c r="J27" s="6"/>
    </row>
    <row r="28" spans="1:10" x14ac:dyDescent="0.3">
      <c r="A28" t="s">
        <v>12</v>
      </c>
      <c r="E28" s="6"/>
      <c r="F28" s="77" t="s">
        <v>13</v>
      </c>
      <c r="J28" s="6"/>
    </row>
    <row r="29" spans="1:10" x14ac:dyDescent="0.3">
      <c r="A29" s="83" t="s">
        <v>211</v>
      </c>
      <c r="B29" s="83"/>
      <c r="C29" s="83"/>
      <c r="D29" s="83"/>
      <c r="E29" s="83"/>
      <c r="F29" s="77" t="s">
        <v>15</v>
      </c>
      <c r="J29" s="6"/>
    </row>
    <row r="30" spans="1:10" x14ac:dyDescent="0.3">
      <c r="E30" s="6"/>
      <c r="F30" s="77"/>
      <c r="J30" s="6"/>
    </row>
    <row r="31" spans="1:10" x14ac:dyDescent="0.3">
      <c r="A31" s="11" t="s">
        <v>16</v>
      </c>
      <c r="B31" s="12"/>
      <c r="C31" s="12"/>
      <c r="D31" s="12"/>
      <c r="E31" s="14"/>
      <c r="F31" s="76"/>
      <c r="G31" s="12"/>
      <c r="H31" s="12"/>
      <c r="I31" s="12"/>
      <c r="J31" s="14"/>
    </row>
    <row r="32" spans="1:10" x14ac:dyDescent="0.3">
      <c r="E32" s="6"/>
      <c r="F32" s="77"/>
      <c r="J32" s="6"/>
    </row>
    <row r="33" spans="1:10" x14ac:dyDescent="0.3">
      <c r="A33" t="s">
        <v>12</v>
      </c>
      <c r="E33" s="6"/>
      <c r="F33" s="77" t="s">
        <v>13</v>
      </c>
      <c r="J33" s="6"/>
    </row>
    <row r="34" spans="1:10" x14ac:dyDescent="0.3">
      <c r="A34">
        <v>2025</v>
      </c>
      <c r="B34" s="7">
        <v>0.55000000000000004</v>
      </c>
      <c r="C34" t="s">
        <v>17</v>
      </c>
      <c r="E34" s="6"/>
      <c r="F34" s="77" t="s">
        <v>15</v>
      </c>
      <c r="J34" s="6"/>
    </row>
    <row r="35" spans="1:10" x14ac:dyDescent="0.3">
      <c r="A35">
        <v>2030</v>
      </c>
      <c r="B35" s="7">
        <v>0.55000000000000004</v>
      </c>
      <c r="C35" t="s">
        <v>17</v>
      </c>
      <c r="E35" s="6"/>
      <c r="F35" s="77"/>
      <c r="J35" s="6"/>
    </row>
    <row r="36" spans="1:10" x14ac:dyDescent="0.3">
      <c r="A36">
        <v>2035</v>
      </c>
      <c r="B36" s="7">
        <v>0.55000000000000004</v>
      </c>
      <c r="C36" t="s">
        <v>17</v>
      </c>
      <c r="E36" s="6"/>
      <c r="F36" s="77"/>
      <c r="J36" s="6"/>
    </row>
    <row r="37" spans="1:10" x14ac:dyDescent="0.3">
      <c r="A37">
        <v>2040</v>
      </c>
      <c r="B37" s="7">
        <v>0.55000000000000004</v>
      </c>
      <c r="C37" t="s">
        <v>17</v>
      </c>
      <c r="E37" s="6"/>
      <c r="F37" s="77"/>
      <c r="J37" s="6"/>
    </row>
    <row r="38" spans="1:10" x14ac:dyDescent="0.3">
      <c r="A38">
        <v>2045</v>
      </c>
      <c r="B38" s="7">
        <v>0.55000000000000004</v>
      </c>
      <c r="C38" t="s">
        <v>17</v>
      </c>
      <c r="E38" s="6"/>
      <c r="F38" s="77"/>
      <c r="J38" s="6"/>
    </row>
    <row r="39" spans="1:10" x14ac:dyDescent="0.3">
      <c r="A39">
        <v>2050</v>
      </c>
      <c r="B39" s="7">
        <v>0.55000000000000004</v>
      </c>
      <c r="C39" t="s">
        <v>17</v>
      </c>
      <c r="E39" s="6"/>
      <c r="F39" s="77"/>
      <c r="J39" s="6"/>
    </row>
    <row r="40" spans="1:10" x14ac:dyDescent="0.3">
      <c r="E40" s="6"/>
      <c r="F40" s="77"/>
      <c r="J40" s="6"/>
    </row>
    <row r="41" spans="1:10" x14ac:dyDescent="0.3">
      <c r="A41" s="86"/>
      <c r="B41" s="86"/>
      <c r="C41" s="86"/>
      <c r="D41" s="86"/>
      <c r="E41" s="87"/>
      <c r="F41" s="77"/>
      <c r="J41" s="6"/>
    </row>
    <row r="42" spans="1:10" x14ac:dyDescent="0.3">
      <c r="E42" s="6"/>
      <c r="F42" s="77"/>
      <c r="J42" s="6"/>
    </row>
    <row r="43" spans="1:10" x14ac:dyDescent="0.3">
      <c r="A43" s="11" t="s">
        <v>41</v>
      </c>
      <c r="B43" s="12"/>
      <c r="C43" s="12"/>
      <c r="D43" s="12"/>
      <c r="E43" s="14"/>
      <c r="F43" s="76"/>
      <c r="G43" s="12"/>
      <c r="H43" s="12"/>
      <c r="I43" s="12"/>
      <c r="J43" s="14"/>
    </row>
    <row r="44" spans="1:10" x14ac:dyDescent="0.3">
      <c r="E44" s="6"/>
      <c r="F44" s="77"/>
      <c r="J44" s="6"/>
    </row>
    <row r="45" spans="1:10" x14ac:dyDescent="0.3">
      <c r="A45" t="s">
        <v>12</v>
      </c>
      <c r="E45" s="6"/>
      <c r="F45" s="77" t="s">
        <v>13</v>
      </c>
      <c r="J45" s="6"/>
    </row>
    <row r="46" spans="1:10" x14ac:dyDescent="0.3">
      <c r="E46" s="6"/>
      <c r="F46" s="77" t="s">
        <v>15</v>
      </c>
      <c r="J46" s="6"/>
    </row>
    <row r="47" spans="1:10" x14ac:dyDescent="0.3">
      <c r="A47" s="66">
        <f>'Windsor Inventory'!A83</f>
        <v>37.85</v>
      </c>
      <c r="B47" s="94" t="s">
        <v>55</v>
      </c>
      <c r="C47" s="81"/>
      <c r="D47" s="81"/>
      <c r="E47" s="82"/>
      <c r="F47" s="77"/>
      <c r="J47" s="6"/>
    </row>
    <row r="48" spans="1:10" x14ac:dyDescent="0.3">
      <c r="A48" s="20" t="s">
        <v>212</v>
      </c>
      <c r="E48" s="6"/>
      <c r="F48" s="77" t="s">
        <v>62</v>
      </c>
      <c r="J48" s="6"/>
    </row>
    <row r="49" spans="1:10" x14ac:dyDescent="0.3">
      <c r="E49" s="6"/>
      <c r="F49" s="37">
        <f>A58</f>
        <v>2.6495000000000002</v>
      </c>
      <c r="G49" s="85" t="str">
        <f>B58</f>
        <v>lbs CO2e/dry ton for dewatering/thickening electricity</v>
      </c>
      <c r="H49" s="85"/>
      <c r="I49" s="85"/>
      <c r="J49" s="95"/>
    </row>
    <row r="50" spans="1:10" x14ac:dyDescent="0.3">
      <c r="A50" t="s">
        <v>57</v>
      </c>
      <c r="E50" s="6"/>
      <c r="F50" s="77"/>
      <c r="J50" s="6"/>
    </row>
    <row r="51" spans="1:10" x14ac:dyDescent="0.3">
      <c r="A51" s="88" t="s">
        <v>58</v>
      </c>
      <c r="B51" s="89"/>
      <c r="C51" s="89"/>
      <c r="D51" s="90"/>
      <c r="E51" s="6"/>
      <c r="F51" s="77"/>
      <c r="J51" s="6"/>
    </row>
    <row r="52" spans="1:10" x14ac:dyDescent="0.3">
      <c r="E52" s="6"/>
      <c r="F52" s="77"/>
      <c r="J52" s="6"/>
    </row>
    <row r="53" spans="1:10" x14ac:dyDescent="0.3">
      <c r="A53" t="s">
        <v>59</v>
      </c>
      <c r="E53" s="6"/>
      <c r="F53" s="77"/>
      <c r="J53" s="6"/>
    </row>
    <row r="54" spans="1:10" x14ac:dyDescent="0.3">
      <c r="A54" s="2">
        <v>70</v>
      </c>
      <c r="B54" t="s">
        <v>60</v>
      </c>
      <c r="E54" s="6"/>
      <c r="F54" s="77"/>
      <c r="J54" s="6"/>
    </row>
    <row r="55" spans="1:10" x14ac:dyDescent="0.3">
      <c r="A55" s="23" t="s">
        <v>61</v>
      </c>
      <c r="E55" s="6"/>
      <c r="F55" s="77"/>
      <c r="J55" s="6"/>
    </row>
    <row r="56" spans="1:10" x14ac:dyDescent="0.3">
      <c r="E56" s="6"/>
      <c r="F56" s="77"/>
      <c r="J56" s="6"/>
    </row>
    <row r="57" spans="1:10" x14ac:dyDescent="0.3">
      <c r="A57" t="s">
        <v>62</v>
      </c>
      <c r="E57" s="6"/>
      <c r="F57" s="77"/>
      <c r="J57" s="6"/>
    </row>
    <row r="58" spans="1:10" x14ac:dyDescent="0.3">
      <c r="A58" s="75">
        <f>(A54/1000)*A47</f>
        <v>2.6495000000000002</v>
      </c>
      <c r="B58" s="84" t="s">
        <v>64</v>
      </c>
      <c r="C58" s="85"/>
      <c r="D58" s="85"/>
      <c r="E58" s="95"/>
      <c r="F58" s="77"/>
      <c r="J58" s="6"/>
    </row>
    <row r="59" spans="1:10" x14ac:dyDescent="0.3">
      <c r="E59" s="6"/>
      <c r="F59" s="77"/>
      <c r="J59" s="6"/>
    </row>
    <row r="60" spans="1:10" x14ac:dyDescent="0.3">
      <c r="A60" s="11" t="s">
        <v>107</v>
      </c>
      <c r="B60" s="12"/>
      <c r="C60" s="12"/>
      <c r="D60" s="12"/>
      <c r="E60" s="14"/>
      <c r="F60" s="76"/>
      <c r="G60" s="12"/>
      <c r="H60" s="12"/>
      <c r="I60" s="12"/>
      <c r="J60" s="14"/>
    </row>
    <row r="61" spans="1:10" x14ac:dyDescent="0.3">
      <c r="E61" s="6"/>
      <c r="F61" s="77"/>
      <c r="J61" s="6"/>
    </row>
    <row r="62" spans="1:10" x14ac:dyDescent="0.3">
      <c r="A62" t="s">
        <v>12</v>
      </c>
      <c r="E62" s="6"/>
      <c r="F62" s="77" t="s">
        <v>13</v>
      </c>
      <c r="J62" s="6"/>
    </row>
    <row r="63" spans="1:10" x14ac:dyDescent="0.3">
      <c r="E63" s="6"/>
      <c r="F63" s="77"/>
      <c r="J63" s="6"/>
    </row>
    <row r="64" spans="1:10" x14ac:dyDescent="0.3">
      <c r="A64" t="s">
        <v>108</v>
      </c>
      <c r="E64" s="6"/>
      <c r="F64" s="77" t="s">
        <v>108</v>
      </c>
      <c r="J64" s="6"/>
    </row>
    <row r="65" spans="1:10" x14ac:dyDescent="0.3">
      <c r="A65" s="3">
        <v>73</v>
      </c>
      <c r="B65" t="s">
        <v>213</v>
      </c>
      <c r="E65" s="6"/>
      <c r="F65" s="3">
        <v>3</v>
      </c>
      <c r="G65" t="s">
        <v>206</v>
      </c>
      <c r="J65" s="6"/>
    </row>
    <row r="66" spans="1:10" x14ac:dyDescent="0.3">
      <c r="A66" s="3">
        <v>103</v>
      </c>
      <c r="B66" t="s">
        <v>214</v>
      </c>
      <c r="E66" s="6"/>
      <c r="F66" s="53"/>
      <c r="J66" s="6"/>
    </row>
    <row r="67" spans="1:10" x14ac:dyDescent="0.3">
      <c r="E67" s="6"/>
      <c r="F67" s="78" t="s">
        <v>207</v>
      </c>
      <c r="J67" s="6"/>
    </row>
    <row r="68" spans="1:10" x14ac:dyDescent="0.3">
      <c r="A68" t="s">
        <v>111</v>
      </c>
      <c r="E68" s="6"/>
      <c r="F68" s="77"/>
      <c r="J68" s="6"/>
    </row>
    <row r="69" spans="1:10" x14ac:dyDescent="0.3">
      <c r="A69" s="35">
        <v>0.2</v>
      </c>
      <c r="E69" s="6"/>
      <c r="F69" s="77" t="s">
        <v>111</v>
      </c>
      <c r="J69" s="6"/>
    </row>
    <row r="70" spans="1:10" x14ac:dyDescent="0.3">
      <c r="E70" s="6"/>
      <c r="F70" s="35">
        <v>0.2</v>
      </c>
      <c r="J70" s="6"/>
    </row>
    <row r="71" spans="1:10" x14ac:dyDescent="0.3">
      <c r="A71" t="s">
        <v>112</v>
      </c>
      <c r="E71" s="6"/>
      <c r="F71" s="77"/>
      <c r="J71" s="6"/>
    </row>
    <row r="72" spans="1:10" x14ac:dyDescent="0.3">
      <c r="A72" s="17">
        <f>1/A69</f>
        <v>5</v>
      </c>
      <c r="B72" t="s">
        <v>113</v>
      </c>
      <c r="E72" s="6"/>
      <c r="F72" s="77" t="s">
        <v>112</v>
      </c>
      <c r="J72" s="6"/>
    </row>
    <row r="73" spans="1:10" x14ac:dyDescent="0.3">
      <c r="E73" s="6"/>
      <c r="F73" s="17">
        <f>1/F70</f>
        <v>5</v>
      </c>
      <c r="G73" t="s">
        <v>113</v>
      </c>
      <c r="J73" s="6"/>
    </row>
    <row r="74" spans="1:10" x14ac:dyDescent="0.3">
      <c r="A74" t="s">
        <v>86</v>
      </c>
      <c r="E74" s="6"/>
      <c r="F74" s="77"/>
      <c r="J74" s="6"/>
    </row>
    <row r="75" spans="1:10" x14ac:dyDescent="0.3">
      <c r="E75" s="6"/>
      <c r="F75" s="77" t="s">
        <v>86</v>
      </c>
      <c r="J75" s="6"/>
    </row>
    <row r="76" spans="1:10" x14ac:dyDescent="0.3">
      <c r="A76" s="29">
        <f>A72*AVERAGE(A65:A66)</f>
        <v>440</v>
      </c>
      <c r="B76" t="s">
        <v>114</v>
      </c>
      <c r="E76" s="6"/>
      <c r="F76" s="77"/>
      <c r="J76" s="6"/>
    </row>
    <row r="77" spans="1:10" x14ac:dyDescent="0.3">
      <c r="A77" s="20" t="s">
        <v>145</v>
      </c>
      <c r="E77" s="6"/>
      <c r="F77" s="19">
        <f>F73*AVERAGE(F65:F67)</f>
        <v>15</v>
      </c>
      <c r="G77" t="s">
        <v>114</v>
      </c>
      <c r="J77" s="6"/>
    </row>
    <row r="78" spans="1:10" x14ac:dyDescent="0.3">
      <c r="A78" s="20"/>
      <c r="E78" s="6"/>
      <c r="F78" s="78" t="s">
        <v>145</v>
      </c>
      <c r="J78" s="6"/>
    </row>
    <row r="79" spans="1:10" x14ac:dyDescent="0.3">
      <c r="A79" s="30">
        <v>162</v>
      </c>
      <c r="B79" t="s">
        <v>102</v>
      </c>
      <c r="E79" s="6"/>
      <c r="F79" s="78"/>
      <c r="J79" s="6"/>
    </row>
    <row r="80" spans="1:10" x14ac:dyDescent="0.3">
      <c r="A80" s="33">
        <f>A79*(1/453.6)</f>
        <v>0.3571428571428571</v>
      </c>
      <c r="B80" t="s">
        <v>103</v>
      </c>
      <c r="E80" s="6"/>
      <c r="F80" s="2">
        <v>162</v>
      </c>
      <c r="G80" t="s">
        <v>102</v>
      </c>
      <c r="J80" s="6"/>
    </row>
    <row r="81" spans="1:10" x14ac:dyDescent="0.3">
      <c r="A81" s="86" t="s">
        <v>104</v>
      </c>
      <c r="B81" s="86"/>
      <c r="C81" s="86"/>
      <c r="D81" s="86"/>
      <c r="E81" s="87"/>
      <c r="F81" s="79">
        <f>F80*(1/453.6)</f>
        <v>0.3571428571428571</v>
      </c>
      <c r="G81" t="s">
        <v>103</v>
      </c>
      <c r="J81" s="6"/>
    </row>
    <row r="82" spans="1:10" x14ac:dyDescent="0.3">
      <c r="A82" s="86"/>
      <c r="B82" s="86"/>
      <c r="C82" s="86"/>
      <c r="D82" s="86"/>
      <c r="E82" s="86"/>
      <c r="F82" s="112" t="s">
        <v>104</v>
      </c>
      <c r="G82" s="86"/>
      <c r="H82" s="86"/>
      <c r="I82" s="86"/>
      <c r="J82" s="86"/>
    </row>
    <row r="83" spans="1:10" x14ac:dyDescent="0.3">
      <c r="A83" s="86"/>
      <c r="B83" s="86"/>
      <c r="C83" s="86"/>
      <c r="D83" s="86"/>
      <c r="E83" s="86"/>
      <c r="F83" s="112"/>
      <c r="G83" s="86"/>
      <c r="H83" s="86"/>
      <c r="I83" s="86"/>
      <c r="J83" s="86"/>
    </row>
    <row r="84" spans="1:10" x14ac:dyDescent="0.3">
      <c r="A84" s="86"/>
      <c r="B84" s="86"/>
      <c r="C84" s="86"/>
      <c r="D84" s="86"/>
      <c r="E84" s="86"/>
      <c r="F84" s="112"/>
      <c r="G84" s="86"/>
      <c r="H84" s="86"/>
      <c r="I84" s="86"/>
      <c r="J84" s="86"/>
    </row>
    <row r="85" spans="1:10" x14ac:dyDescent="0.3">
      <c r="A85" s="86"/>
      <c r="B85" s="86"/>
      <c r="C85" s="86"/>
      <c r="D85" s="86"/>
      <c r="E85" s="86"/>
      <c r="F85" s="112"/>
      <c r="G85" s="86"/>
      <c r="H85" s="86"/>
      <c r="I85" s="86"/>
      <c r="J85" s="86"/>
    </row>
    <row r="86" spans="1:10" x14ac:dyDescent="0.3">
      <c r="A86" s="86"/>
      <c r="B86" s="86"/>
      <c r="C86" s="86"/>
      <c r="D86" s="86"/>
      <c r="E86" s="86"/>
      <c r="F86" s="112"/>
      <c r="G86" s="86"/>
      <c r="H86" s="86"/>
      <c r="I86" s="86"/>
      <c r="J86" s="86"/>
    </row>
    <row r="87" spans="1:10" x14ac:dyDescent="0.3">
      <c r="A87" t="s">
        <v>115</v>
      </c>
      <c r="F87" s="112"/>
      <c r="G87" s="86"/>
      <c r="H87" s="86"/>
      <c r="I87" s="86"/>
      <c r="J87" s="86"/>
    </row>
    <row r="88" spans="1:10" x14ac:dyDescent="0.3">
      <c r="A88" s="38">
        <f>A80*A76</f>
        <v>157.14285714285711</v>
      </c>
      <c r="B88" s="84" t="s">
        <v>116</v>
      </c>
      <c r="C88" s="85"/>
      <c r="D88" s="85"/>
      <c r="E88" s="95"/>
      <c r="F88" s="77" t="s">
        <v>115</v>
      </c>
      <c r="J88" s="6"/>
    </row>
    <row r="89" spans="1:10" x14ac:dyDescent="0.3">
      <c r="E89" s="6"/>
      <c r="F89" s="37">
        <f>F81*F77</f>
        <v>5.3571428571428568</v>
      </c>
      <c r="G89" s="84" t="s">
        <v>116</v>
      </c>
      <c r="H89" s="85"/>
      <c r="I89" s="85"/>
      <c r="J89" s="95"/>
    </row>
    <row r="90" spans="1:10" x14ac:dyDescent="0.3">
      <c r="E90" s="6"/>
      <c r="F90" s="69"/>
      <c r="G90" s="5"/>
      <c r="H90" s="5"/>
      <c r="I90" s="5"/>
      <c r="J90" s="5"/>
    </row>
    <row r="91" spans="1:10" x14ac:dyDescent="0.3">
      <c r="E91" s="6"/>
      <c r="F91" s="69"/>
      <c r="G91" s="5"/>
      <c r="H91" s="5"/>
      <c r="I91" s="5"/>
      <c r="J91" s="5"/>
    </row>
    <row r="92" spans="1:10" x14ac:dyDescent="0.3">
      <c r="E92" s="6"/>
    </row>
    <row r="93" spans="1:10" x14ac:dyDescent="0.3">
      <c r="A93" s="11" t="s">
        <v>146</v>
      </c>
      <c r="B93" s="12"/>
      <c r="C93" s="12"/>
      <c r="D93" s="12"/>
      <c r="E93" s="14"/>
      <c r="F93" s="12"/>
      <c r="G93" s="12"/>
      <c r="H93" s="12"/>
      <c r="I93" s="12"/>
      <c r="J93" s="12"/>
    </row>
    <row r="94" spans="1:10" x14ac:dyDescent="0.3">
      <c r="E94" s="6"/>
    </row>
    <row r="95" spans="1:10" x14ac:dyDescent="0.3">
      <c r="A95" t="s">
        <v>12</v>
      </c>
      <c r="E95" s="6"/>
      <c r="F95" t="s">
        <v>13</v>
      </c>
    </row>
    <row r="96" spans="1:10" x14ac:dyDescent="0.3">
      <c r="E96" s="6"/>
    </row>
    <row r="97" spans="1:10" x14ac:dyDescent="0.3">
      <c r="A97" t="s">
        <v>66</v>
      </c>
      <c r="E97" s="6"/>
      <c r="F97" s="38">
        <f>SUM('Windsor Inventory'!$F$267:$F$270)</f>
        <v>502.93733994271616</v>
      </c>
      <c r="G97" t="s">
        <v>147</v>
      </c>
    </row>
    <row r="98" spans="1:10" x14ac:dyDescent="0.3">
      <c r="E98" s="6"/>
    </row>
    <row r="99" spans="1:10" x14ac:dyDescent="0.3">
      <c r="E99" s="6"/>
    </row>
    <row r="100" spans="1:10" x14ac:dyDescent="0.3">
      <c r="A100" s="11" t="s">
        <v>117</v>
      </c>
      <c r="B100" s="12"/>
      <c r="C100" s="12"/>
      <c r="D100" s="12"/>
      <c r="E100" s="14"/>
      <c r="F100" s="12"/>
      <c r="G100" s="12"/>
      <c r="H100" s="12"/>
      <c r="I100" s="12"/>
      <c r="J100" s="12"/>
    </row>
    <row r="101" spans="1:10" x14ac:dyDescent="0.3">
      <c r="E101" s="6"/>
    </row>
    <row r="102" spans="1:10" x14ac:dyDescent="0.3">
      <c r="A102" t="s">
        <v>12</v>
      </c>
      <c r="E102" s="6"/>
      <c r="F102" t="s">
        <v>13</v>
      </c>
    </row>
    <row r="103" spans="1:10" x14ac:dyDescent="0.3">
      <c r="A103" s="37">
        <f>A58</f>
        <v>2.6495000000000002</v>
      </c>
      <c r="B103" s="104" t="str">
        <f>B58</f>
        <v>lbs CO2e/dry ton for dewatering/thickening electricity</v>
      </c>
      <c r="C103" s="104"/>
      <c r="D103" s="104"/>
      <c r="E103" s="104"/>
      <c r="F103" s="38">
        <f>F49</f>
        <v>2.6495000000000002</v>
      </c>
      <c r="G103" s="104" t="str">
        <f>G49</f>
        <v>lbs CO2e/dry ton for dewatering/thickening electricity</v>
      </c>
      <c r="H103" s="104"/>
      <c r="I103" s="104"/>
      <c r="J103" s="104"/>
    </row>
    <row r="104" spans="1:10" x14ac:dyDescent="0.3">
      <c r="A104" s="37">
        <f>A88</f>
        <v>157.14285714285711</v>
      </c>
      <c r="B104" s="104" t="str">
        <f>B88</f>
        <v>lbs CO2e/dry ton for offsite biosolids hauling</v>
      </c>
      <c r="C104" s="104"/>
      <c r="D104" s="104"/>
      <c r="E104" s="104"/>
      <c r="F104" s="38">
        <f>F89</f>
        <v>5.3571428571428568</v>
      </c>
      <c r="G104" s="104" t="str">
        <f>G89</f>
        <v>lbs CO2e/dry ton for offsite biosolids hauling</v>
      </c>
      <c r="H104" s="104"/>
      <c r="I104" s="104"/>
      <c r="J104" s="104"/>
    </row>
    <row r="105" spans="1:10" ht="15" thickBot="1" x14ac:dyDescent="0.35">
      <c r="A105" s="70">
        <f>SUM(A103:A104)</f>
        <v>159.7923571428571</v>
      </c>
      <c r="B105" s="71" t="s">
        <v>118</v>
      </c>
      <c r="C105" s="71"/>
      <c r="D105" s="71"/>
      <c r="E105" s="72"/>
      <c r="F105" s="38">
        <f>F97</f>
        <v>502.93733994271616</v>
      </c>
      <c r="G105" s="104" t="str">
        <f>G97</f>
        <v>lbs CO2e/dry ton for biodrying and pyrolysis</v>
      </c>
      <c r="H105" s="104"/>
      <c r="I105" s="104"/>
      <c r="J105" s="104"/>
    </row>
    <row r="106" spans="1:10" ht="15" thickBot="1" x14ac:dyDescent="0.35">
      <c r="A106" s="74">
        <f>A105/2204.6</f>
        <v>7.248133772242453E-2</v>
      </c>
      <c r="B106" s="41" t="s">
        <v>119</v>
      </c>
      <c r="C106" s="41"/>
      <c r="D106" s="41"/>
      <c r="E106" s="65"/>
      <c r="F106" s="64">
        <f>SUM(F103:F105)</f>
        <v>510.94398279985904</v>
      </c>
      <c r="G106" s="41" t="s">
        <v>118</v>
      </c>
      <c r="H106" s="41"/>
      <c r="I106" s="41"/>
      <c r="J106" s="42"/>
    </row>
    <row r="107" spans="1:10" ht="15" thickBot="1" x14ac:dyDescent="0.35">
      <c r="E107" s="6"/>
      <c r="F107" s="64">
        <f>F106/2204.6</f>
        <v>0.23176267023489933</v>
      </c>
      <c r="G107" s="41" t="s">
        <v>119</v>
      </c>
      <c r="H107" s="41"/>
      <c r="I107" s="41"/>
      <c r="J107" s="42"/>
    </row>
  </sheetData>
  <mergeCells count="18">
    <mergeCell ref="B103:E103"/>
    <mergeCell ref="G103:J103"/>
    <mergeCell ref="B104:E104"/>
    <mergeCell ref="G104:J104"/>
    <mergeCell ref="G105:J105"/>
    <mergeCell ref="A81:E86"/>
    <mergeCell ref="F82:J87"/>
    <mergeCell ref="B88:E88"/>
    <mergeCell ref="G89:J89"/>
    <mergeCell ref="G49:J49"/>
    <mergeCell ref="A51:D51"/>
    <mergeCell ref="B58:E58"/>
    <mergeCell ref="B47:E47"/>
    <mergeCell ref="A13:I14"/>
    <mergeCell ref="A16:I18"/>
    <mergeCell ref="A20:I25"/>
    <mergeCell ref="A29:E29"/>
    <mergeCell ref="A41:E41"/>
  </mergeCells>
  <hyperlinks>
    <hyperlink ref="A55" r:id="rId1" display="https://sonomacleanpower.org/power-sources" xr:uid="{79D0928B-8202-4500-9679-A4C8DFF8E46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809D5-A86E-40A0-B046-51769517DDD9}">
  <dimension ref="A1:AB28"/>
  <sheetViews>
    <sheetView zoomScale="60" zoomScaleNormal="60" workbookViewId="0">
      <selection activeCell="Q34" sqref="Q34"/>
    </sheetView>
  </sheetViews>
  <sheetFormatPr defaultRowHeight="14.4" x14ac:dyDescent="0.3"/>
  <cols>
    <col min="1" max="28" width="13.88671875" style="15" customWidth="1"/>
  </cols>
  <sheetData>
    <row r="1" spans="1:28" x14ac:dyDescent="0.3">
      <c r="B1" s="113" t="s">
        <v>215</v>
      </c>
      <c r="C1" s="113"/>
      <c r="D1" s="113"/>
      <c r="E1" s="113"/>
      <c r="F1" s="113"/>
      <c r="G1" s="113"/>
      <c r="H1" s="113"/>
      <c r="I1" s="113"/>
      <c r="J1" s="114" t="s">
        <v>216</v>
      </c>
      <c r="K1" s="114"/>
      <c r="L1" s="114"/>
      <c r="M1" s="114"/>
      <c r="N1" s="114"/>
      <c r="O1" s="114"/>
      <c r="P1" s="114"/>
      <c r="Q1" s="114"/>
      <c r="R1" s="115" t="s">
        <v>217</v>
      </c>
      <c r="S1" s="116"/>
      <c r="T1" s="116"/>
      <c r="U1" s="116"/>
      <c r="V1" s="116"/>
      <c r="W1" s="116"/>
      <c r="X1" s="116"/>
      <c r="Y1" s="116"/>
    </row>
    <row r="2" spans="1:28" s="44" customFormat="1" ht="57.6" x14ac:dyDescent="0.3">
      <c r="A2" s="46" t="s">
        <v>218</v>
      </c>
      <c r="B2" s="46" t="s">
        <v>219</v>
      </c>
      <c r="C2" s="46" t="s">
        <v>120</v>
      </c>
      <c r="D2" s="46" t="s">
        <v>148</v>
      </c>
      <c r="E2" s="46" t="s">
        <v>158</v>
      </c>
      <c r="F2" s="46" t="s">
        <v>185</v>
      </c>
      <c r="G2" s="46" t="s">
        <v>192</v>
      </c>
      <c r="H2" s="46" t="s">
        <v>202</v>
      </c>
      <c r="I2" s="46" t="s">
        <v>208</v>
      </c>
      <c r="J2" s="46" t="s">
        <v>219</v>
      </c>
      <c r="K2" s="46" t="s">
        <v>120</v>
      </c>
      <c r="L2" s="46" t="s">
        <v>148</v>
      </c>
      <c r="M2" s="46" t="s">
        <v>158</v>
      </c>
      <c r="N2" s="46" t="s">
        <v>185</v>
      </c>
      <c r="O2" s="46" t="s">
        <v>192</v>
      </c>
      <c r="P2" s="46" t="s">
        <v>202</v>
      </c>
      <c r="Q2" s="46" t="s">
        <v>208</v>
      </c>
      <c r="R2" s="46" t="s">
        <v>219</v>
      </c>
      <c r="S2" s="46" t="s">
        <v>120</v>
      </c>
      <c r="T2" s="46" t="s">
        <v>148</v>
      </c>
      <c r="U2" s="46" t="s">
        <v>158</v>
      </c>
      <c r="V2" s="46" t="s">
        <v>185</v>
      </c>
      <c r="W2" s="46" t="s">
        <v>192</v>
      </c>
      <c r="X2" s="46" t="s">
        <v>202</v>
      </c>
      <c r="Y2" s="46" t="s">
        <v>208</v>
      </c>
      <c r="Z2" s="46" t="s">
        <v>220</v>
      </c>
      <c r="AA2" s="46" t="s">
        <v>221</v>
      </c>
      <c r="AB2" s="45"/>
    </row>
    <row r="3" spans="1:28" x14ac:dyDescent="0.3">
      <c r="A3" s="55">
        <v>2025</v>
      </c>
      <c r="B3" s="56">
        <f>'Windsor Inventory'!$B$38*365</f>
        <v>646.04999999999995</v>
      </c>
      <c r="C3" s="56">
        <f>'Healdsburg Inventory'!$B$37*365</f>
        <v>361.35</v>
      </c>
      <c r="D3" s="58">
        <f>'Cloverdale Inventory'!B37*365</f>
        <v>76.649999999999991</v>
      </c>
      <c r="E3" s="56">
        <f>'City of Petaluma'!$B$37*365</f>
        <v>1168</v>
      </c>
      <c r="F3" s="56">
        <f>365*'Lytton Rancheria'!$B$37</f>
        <v>30.869999999999997</v>
      </c>
      <c r="G3" s="56">
        <f>365*'Sonoma - SVCSD '!$B$37</f>
        <v>510.99999999999994</v>
      </c>
      <c r="H3" s="56">
        <f>365*'Sonoma - RRCSD'!$B$34</f>
        <v>98.550000000000011</v>
      </c>
      <c r="I3" s="56">
        <f>365*'Sonoma - ALWSZ'!$B$34</f>
        <v>200.75000000000003</v>
      </c>
      <c r="J3" s="56">
        <f>B3*'Windsor Inventory'!$A$270</f>
        <v>2575.2303300207145</v>
      </c>
      <c r="K3" s="56">
        <f>C3*'Healdsburg Inventory'!$A$141</f>
        <v>77.801494000940167</v>
      </c>
      <c r="L3" s="58">
        <f>D3*'Cloverdale Inventory'!$A$138</f>
        <v>8.4062560106536104</v>
      </c>
      <c r="M3" s="56">
        <f>E3*'City of Petaluma'!$A$175</f>
        <v>126.88167832721039</v>
      </c>
      <c r="N3" s="57">
        <f>'Annual and Cumulative GHGs'!F3*'Lytton Rancheria'!$A$143</f>
        <v>3.4350321120589866</v>
      </c>
      <c r="O3" s="56">
        <f>G3*'Sonoma - SVCSD '!$A$151</f>
        <v>13.965870622516553</v>
      </c>
      <c r="P3" s="57">
        <f>H3*'Sonoma - RRCSD'!$A$148</f>
        <v>4.8676224819891205</v>
      </c>
      <c r="Q3" s="56">
        <f>I3*'Sonoma - ALWSZ'!$A$106</f>
        <v>14.550628547776727</v>
      </c>
      <c r="R3" s="56">
        <f>J3</f>
        <v>2575.2303300207145</v>
      </c>
      <c r="S3" s="56">
        <f>K3</f>
        <v>77.801494000940167</v>
      </c>
      <c r="T3" s="56">
        <f t="shared" ref="T3:Y3" si="0">L3</f>
        <v>8.4062560106536104</v>
      </c>
      <c r="U3" s="56">
        <f t="shared" si="0"/>
        <v>126.88167832721039</v>
      </c>
      <c r="V3" s="57">
        <f t="shared" si="0"/>
        <v>3.4350321120589866</v>
      </c>
      <c r="W3" s="56">
        <f t="shared" si="0"/>
        <v>13.965870622516553</v>
      </c>
      <c r="X3" s="56">
        <f t="shared" si="0"/>
        <v>4.8676224819891205</v>
      </c>
      <c r="Y3" s="56">
        <f t="shared" si="0"/>
        <v>14.550628547776727</v>
      </c>
      <c r="Z3" s="56">
        <f>SUM(J3:Q3)-SUM(R3:Y3)</f>
        <v>0</v>
      </c>
      <c r="AA3" s="56">
        <f>Z3</f>
        <v>0</v>
      </c>
    </row>
    <row r="4" spans="1:28" x14ac:dyDescent="0.3">
      <c r="A4" s="55">
        <v>2026</v>
      </c>
      <c r="B4" s="56">
        <f>(((B$8-B$3)/($A$8-$A$3))*($A4-$A$3))+B$3</f>
        <v>658.31399999999996</v>
      </c>
      <c r="C4" s="56">
        <f t="shared" ref="C4:D4" si="1">(((C$8-C$3)/($A$8-$A$3))*($A4-$A$3))+C$3</f>
        <v>361.35</v>
      </c>
      <c r="D4" s="58">
        <f t="shared" si="1"/>
        <v>76.649999999999991</v>
      </c>
      <c r="E4" s="58">
        <f>(((E$8-E$3)/($A$8-$A$3))*($A4-$A$3))+E$3</f>
        <v>1241</v>
      </c>
      <c r="F4" s="58">
        <f>(((F$8-F$3)/($A$8-$A$3))*($A4-$A$3))+F$3</f>
        <v>30.869999999999997</v>
      </c>
      <c r="G4" s="58">
        <f>(((G$8-G$3)/($A$8-$A$3))*($A4-$A$3))+G$3</f>
        <v>518.29999999999995</v>
      </c>
      <c r="H4" s="58">
        <f>(((H$8-H$3)/($A$8-$A$3))*($A4-$A$3))+H$3</f>
        <v>98.550000000000011</v>
      </c>
      <c r="I4" s="58">
        <f>(((I$8-I$3)/($A$8-$A$3))*($A4-$A$3))+I$3</f>
        <v>200.75000000000003</v>
      </c>
      <c r="J4" s="56">
        <f>B4*'Windsor Inventory'!$A$270</f>
        <v>2624.1160583194132</v>
      </c>
      <c r="K4" s="56">
        <f>C4*'Healdsburg Inventory'!$A$141</f>
        <v>77.801494000940167</v>
      </c>
      <c r="L4" s="58">
        <f>D4*'Cloverdale Inventory'!$A$138</f>
        <v>8.4062560106536104</v>
      </c>
      <c r="M4" s="56">
        <f>E4*'City of Petaluma'!$A$175</f>
        <v>134.81178322266103</v>
      </c>
      <c r="N4" s="57">
        <f>'Annual and Cumulative GHGs'!F4*'Lytton Rancheria'!$A$143</f>
        <v>3.4350321120589866</v>
      </c>
      <c r="O4" s="56">
        <f>G4*'Sonoma - SVCSD '!$A$151</f>
        <v>14.165383059981075</v>
      </c>
      <c r="P4" s="57">
        <f>H4*'Sonoma - RRCSD'!$A$148</f>
        <v>4.8676224819891205</v>
      </c>
      <c r="Q4" s="56">
        <f>I4*'Sonoma - ALWSZ'!$A$106</f>
        <v>14.550628547776727</v>
      </c>
      <c r="R4" s="56">
        <f t="shared" ref="R4:S7" si="2">J4</f>
        <v>2624.1160583194132</v>
      </c>
      <c r="S4" s="56">
        <f t="shared" si="2"/>
        <v>77.801494000940167</v>
      </c>
      <c r="T4" s="56">
        <f t="shared" ref="T4:Y4" si="3">L4</f>
        <v>8.4062560106536104</v>
      </c>
      <c r="U4" s="56">
        <f t="shared" si="3"/>
        <v>134.81178322266103</v>
      </c>
      <c r="V4" s="57">
        <f t="shared" si="3"/>
        <v>3.4350321120589866</v>
      </c>
      <c r="W4" s="56">
        <f t="shared" si="3"/>
        <v>14.165383059981075</v>
      </c>
      <c r="X4" s="56">
        <f t="shared" si="3"/>
        <v>4.8676224819891205</v>
      </c>
      <c r="Y4" s="56">
        <f t="shared" si="3"/>
        <v>14.550628547776727</v>
      </c>
      <c r="Z4" s="56">
        <f t="shared" ref="Z4:Z28" si="4">SUM(J4:Q4)-SUM(R4:Y4)</f>
        <v>0</v>
      </c>
      <c r="AA4" s="56">
        <f>Z4+AA3</f>
        <v>0</v>
      </c>
    </row>
    <row r="5" spans="1:28" x14ac:dyDescent="0.3">
      <c r="A5" s="55">
        <v>2027</v>
      </c>
      <c r="B5" s="56">
        <f t="shared" ref="B5:I7" si="5">(((B$8-B$3)/($A$8-$A$3))*($A5-$A$3))+B$3</f>
        <v>670.57799999999997</v>
      </c>
      <c r="C5" s="56">
        <f t="shared" si="5"/>
        <v>361.35</v>
      </c>
      <c r="D5" s="58">
        <f t="shared" si="5"/>
        <v>76.649999999999991</v>
      </c>
      <c r="E5" s="58">
        <f t="shared" si="5"/>
        <v>1314</v>
      </c>
      <c r="F5" s="58">
        <f t="shared" si="5"/>
        <v>30.869999999999997</v>
      </c>
      <c r="G5" s="58">
        <f t="shared" si="5"/>
        <v>525.59999999999991</v>
      </c>
      <c r="H5" s="58">
        <f t="shared" si="5"/>
        <v>98.550000000000011</v>
      </c>
      <c r="I5" s="58">
        <f t="shared" si="5"/>
        <v>200.75000000000003</v>
      </c>
      <c r="J5" s="56">
        <f>B5*'Windsor Inventory'!$A$270</f>
        <v>2673.0017866181115</v>
      </c>
      <c r="K5" s="56">
        <f>C5*'Healdsburg Inventory'!$A$141</f>
        <v>77.801494000940167</v>
      </c>
      <c r="L5" s="58">
        <f>D5*'Cloverdale Inventory'!$A$138</f>
        <v>8.4062560106536104</v>
      </c>
      <c r="M5" s="56">
        <f>E5*'City of Petaluma'!$A$175</f>
        <v>142.74188811811169</v>
      </c>
      <c r="N5" s="57">
        <f>'Annual and Cumulative GHGs'!F5*'Lytton Rancheria'!$A$143</f>
        <v>3.4350321120589866</v>
      </c>
      <c r="O5" s="56">
        <f>G5*'Sonoma - SVCSD '!$A$151</f>
        <v>14.364895497445596</v>
      </c>
      <c r="P5" s="57">
        <f>H5*'Sonoma - RRCSD'!$A$148</f>
        <v>4.8676224819891205</v>
      </c>
      <c r="Q5" s="56">
        <f>I5*'Sonoma - ALWSZ'!$A$106</f>
        <v>14.550628547776727</v>
      </c>
      <c r="R5" s="56">
        <f t="shared" si="2"/>
        <v>2673.0017866181115</v>
      </c>
      <c r="S5" s="56">
        <f t="shared" si="2"/>
        <v>77.801494000940167</v>
      </c>
      <c r="T5" s="56">
        <f t="shared" ref="T5:Y5" si="6">L5</f>
        <v>8.4062560106536104</v>
      </c>
      <c r="U5" s="56">
        <f t="shared" si="6"/>
        <v>142.74188811811169</v>
      </c>
      <c r="V5" s="57">
        <f t="shared" si="6"/>
        <v>3.4350321120589866</v>
      </c>
      <c r="W5" s="56">
        <f t="shared" si="6"/>
        <v>14.364895497445596</v>
      </c>
      <c r="X5" s="56">
        <f t="shared" si="6"/>
        <v>4.8676224819891205</v>
      </c>
      <c r="Y5" s="56">
        <f t="shared" si="6"/>
        <v>14.550628547776727</v>
      </c>
      <c r="Z5" s="56">
        <f t="shared" si="4"/>
        <v>0</v>
      </c>
      <c r="AA5" s="56">
        <f t="shared" ref="AA5:AA28" si="7">Z5+AA4</f>
        <v>0</v>
      </c>
    </row>
    <row r="6" spans="1:28" x14ac:dyDescent="0.3">
      <c r="A6" s="55">
        <v>2028</v>
      </c>
      <c r="B6" s="56">
        <f t="shared" si="5"/>
        <v>682.84199999999998</v>
      </c>
      <c r="C6" s="56">
        <f t="shared" si="5"/>
        <v>361.35</v>
      </c>
      <c r="D6" s="58">
        <f t="shared" si="5"/>
        <v>76.649999999999991</v>
      </c>
      <c r="E6" s="58">
        <f t="shared" si="5"/>
        <v>1387</v>
      </c>
      <c r="F6" s="58">
        <f t="shared" si="5"/>
        <v>30.869999999999997</v>
      </c>
      <c r="G6" s="58">
        <f t="shared" si="5"/>
        <v>532.9</v>
      </c>
      <c r="H6" s="58">
        <f t="shared" si="5"/>
        <v>98.550000000000011</v>
      </c>
      <c r="I6" s="58">
        <f t="shared" si="5"/>
        <v>200.75000000000003</v>
      </c>
      <c r="J6" s="56">
        <f>B6*'Windsor Inventory'!$A$270</f>
        <v>2721.8875149168098</v>
      </c>
      <c r="K6" s="56">
        <f>C6*'Healdsburg Inventory'!$A$141</f>
        <v>77.801494000940167</v>
      </c>
      <c r="L6" s="58">
        <f>D6*'Cloverdale Inventory'!$A$138</f>
        <v>8.4062560106536104</v>
      </c>
      <c r="M6" s="56">
        <f>E6*'City of Petaluma'!$A$175</f>
        <v>150.67199301356234</v>
      </c>
      <c r="N6" s="57">
        <f>'Annual and Cumulative GHGs'!F6*'Lytton Rancheria'!$A$143</f>
        <v>3.4350321120589866</v>
      </c>
      <c r="O6" s="56">
        <f>G6*'Sonoma - SVCSD '!$A$151</f>
        <v>14.56440793491012</v>
      </c>
      <c r="P6" s="57">
        <f>H6*'Sonoma - RRCSD'!$A$148</f>
        <v>4.8676224819891205</v>
      </c>
      <c r="Q6" s="56">
        <f>I6*'Sonoma - ALWSZ'!$A$106</f>
        <v>14.550628547776727</v>
      </c>
      <c r="R6" s="56">
        <f t="shared" si="2"/>
        <v>2721.8875149168098</v>
      </c>
      <c r="S6" s="56">
        <f t="shared" si="2"/>
        <v>77.801494000940167</v>
      </c>
      <c r="T6" s="56">
        <f t="shared" ref="T6:Y6" si="8">L6</f>
        <v>8.4062560106536104</v>
      </c>
      <c r="U6" s="56">
        <f t="shared" si="8"/>
        <v>150.67199301356234</v>
      </c>
      <c r="V6" s="57">
        <f t="shared" si="8"/>
        <v>3.4350321120589866</v>
      </c>
      <c r="W6" s="56">
        <f t="shared" si="8"/>
        <v>14.56440793491012</v>
      </c>
      <c r="X6" s="56">
        <f t="shared" si="8"/>
        <v>4.8676224819891205</v>
      </c>
      <c r="Y6" s="56">
        <f t="shared" si="8"/>
        <v>14.550628547776727</v>
      </c>
      <c r="Z6" s="56">
        <f t="shared" si="4"/>
        <v>0</v>
      </c>
      <c r="AA6" s="56">
        <f t="shared" si="7"/>
        <v>0</v>
      </c>
    </row>
    <row r="7" spans="1:28" x14ac:dyDescent="0.3">
      <c r="A7" s="55">
        <v>2029</v>
      </c>
      <c r="B7" s="56">
        <f t="shared" si="5"/>
        <v>695.10599999999999</v>
      </c>
      <c r="C7" s="56">
        <f t="shared" si="5"/>
        <v>361.35</v>
      </c>
      <c r="D7" s="58">
        <f t="shared" si="5"/>
        <v>76.649999999999991</v>
      </c>
      <c r="E7" s="58">
        <f t="shared" si="5"/>
        <v>1460</v>
      </c>
      <c r="F7" s="58">
        <f t="shared" si="5"/>
        <v>30.869999999999997</v>
      </c>
      <c r="G7" s="58">
        <f t="shared" si="5"/>
        <v>540.20000000000005</v>
      </c>
      <c r="H7" s="58">
        <f t="shared" si="5"/>
        <v>98.550000000000011</v>
      </c>
      <c r="I7" s="58">
        <f t="shared" si="5"/>
        <v>200.75000000000003</v>
      </c>
      <c r="J7" s="56">
        <f>B7*'Windsor Inventory'!$A$270</f>
        <v>2770.773243215508</v>
      </c>
      <c r="K7" s="56">
        <f>C7*'Healdsburg Inventory'!$A$141</f>
        <v>77.801494000940167</v>
      </c>
      <c r="L7" s="58">
        <f>D7*'Cloverdale Inventory'!$A$138</f>
        <v>8.4062560106536104</v>
      </c>
      <c r="M7" s="56">
        <f>E7*'City of Petaluma'!$A$175</f>
        <v>158.602097909013</v>
      </c>
      <c r="N7" s="57">
        <f>'Annual and Cumulative GHGs'!F7*'Lytton Rancheria'!$A$143</f>
        <v>3.4350321120589866</v>
      </c>
      <c r="O7" s="56">
        <f>G7*'Sonoma - SVCSD '!$A$151</f>
        <v>14.763920372374644</v>
      </c>
      <c r="P7" s="57">
        <f>H7*'Sonoma - RRCSD'!$A$148</f>
        <v>4.8676224819891205</v>
      </c>
      <c r="Q7" s="56">
        <f>I7*'Sonoma - ALWSZ'!$A$106</f>
        <v>14.550628547776727</v>
      </c>
      <c r="R7" s="56">
        <f t="shared" si="2"/>
        <v>2770.773243215508</v>
      </c>
      <c r="S7" s="56">
        <f t="shared" si="2"/>
        <v>77.801494000940167</v>
      </c>
      <c r="T7" s="56">
        <f t="shared" ref="T7:Y7" si="9">L7</f>
        <v>8.4062560106536104</v>
      </c>
      <c r="U7" s="56">
        <f t="shared" si="9"/>
        <v>158.602097909013</v>
      </c>
      <c r="V7" s="57">
        <f t="shared" si="9"/>
        <v>3.4350321120589866</v>
      </c>
      <c r="W7" s="56">
        <f t="shared" si="9"/>
        <v>14.763920372374644</v>
      </c>
      <c r="X7" s="56">
        <f t="shared" si="9"/>
        <v>4.8676224819891205</v>
      </c>
      <c r="Y7" s="56">
        <f t="shared" si="9"/>
        <v>14.550628547776727</v>
      </c>
      <c r="Z7" s="56">
        <f t="shared" si="4"/>
        <v>0</v>
      </c>
      <c r="AA7" s="56">
        <f t="shared" si="7"/>
        <v>0</v>
      </c>
    </row>
    <row r="8" spans="1:28" x14ac:dyDescent="0.3">
      <c r="A8" s="47">
        <v>2030</v>
      </c>
      <c r="B8" s="48">
        <f>'Windsor Inventory'!$B$39*365</f>
        <v>707.37</v>
      </c>
      <c r="C8" s="48">
        <f>'Healdsburg Inventory'!$B$38*365</f>
        <v>361.35</v>
      </c>
      <c r="D8" s="60">
        <f>'Cloverdale Inventory'!$B$38*365</f>
        <v>76.649999999999991</v>
      </c>
      <c r="E8" s="48">
        <f>365*'City of Petaluma'!$B$38</f>
        <v>1533</v>
      </c>
      <c r="F8" s="48">
        <f>365*'Lytton Rancheria'!$B$38</f>
        <v>30.869999999999997</v>
      </c>
      <c r="G8" s="48">
        <f>365*'Sonoma - SVCSD '!$B$38</f>
        <v>547.5</v>
      </c>
      <c r="H8" s="48">
        <f>365*'Sonoma - RRCSD'!$B$35</f>
        <v>98.550000000000011</v>
      </c>
      <c r="I8" s="48">
        <f>365*'Sonoma - ALWSZ'!$B$35</f>
        <v>200.75000000000003</v>
      </c>
      <c r="J8" s="48">
        <f>B8*'Windsor Inventory'!$A$270</f>
        <v>2819.6589715142063</v>
      </c>
      <c r="K8" s="48">
        <f>C8*'Healdsburg Inventory'!$A$141</f>
        <v>77.801494000940167</v>
      </c>
      <c r="L8" s="60">
        <f>D8*'Cloverdale Inventory'!$A$138</f>
        <v>8.4062560106536104</v>
      </c>
      <c r="M8" s="48">
        <f>E8*'City of Petaluma'!$A$175</f>
        <v>166.53220280446365</v>
      </c>
      <c r="N8" s="59">
        <f>'Annual and Cumulative GHGs'!F8*'Lytton Rancheria'!$A$143</f>
        <v>3.4350321120589866</v>
      </c>
      <c r="O8" s="48">
        <f>G8*'Sonoma - SVCSD '!$A$151</f>
        <v>14.963432809839166</v>
      </c>
      <c r="P8" s="59">
        <f>H8*'Sonoma - RRCSD'!$A$148</f>
        <v>4.8676224819891205</v>
      </c>
      <c r="Q8" s="48">
        <f>I8*'Sonoma - ALWSZ'!$A$106</f>
        <v>14.550628547776727</v>
      </c>
      <c r="R8" s="48">
        <f>B8*'Windsor Inventory'!$F$272</f>
        <v>191.0872126906504</v>
      </c>
      <c r="S8" s="48">
        <f>C8*'Healdsburg Inventory'!$F$141</f>
        <v>103.52759418549607</v>
      </c>
      <c r="T8" s="48">
        <f>D8*'Cloverdale Inventory'!$F$139</f>
        <v>18.820072249663973</v>
      </c>
      <c r="U8" s="48">
        <f>E8*'City of Petaluma'!$F$176</f>
        <v>468.76642838331298</v>
      </c>
      <c r="V8" s="59">
        <f>F8*'Lytton Rancheria'!$F$152</f>
        <v>7.1330757181696871</v>
      </c>
      <c r="W8" s="48">
        <f>G8*'Sonoma - SVCSD '!$F$152</f>
        <v>145.40849121566978</v>
      </c>
      <c r="X8" s="48">
        <f>H8*'Sonoma - RRCSD'!$F$149</f>
        <v>24.582654943950654</v>
      </c>
      <c r="Y8" s="48">
        <f>I8*'Sonoma - ALWSZ'!$F$107</f>
        <v>46.526356049656044</v>
      </c>
      <c r="Z8" s="48">
        <f>SUM(J8:Q8)-SUM(R8:Y8)</f>
        <v>2104.3637548453589</v>
      </c>
      <c r="AA8" s="48">
        <f t="shared" si="7"/>
        <v>2104.3637548453589</v>
      </c>
    </row>
    <row r="9" spans="1:28" x14ac:dyDescent="0.3">
      <c r="A9" s="47">
        <v>2031</v>
      </c>
      <c r="B9" s="48">
        <f>(((B$13-B$8)/($A$13-$A$8))*($A9-$A$8))+B$8</f>
        <v>719.63400000000001</v>
      </c>
      <c r="C9" s="48">
        <f t="shared" ref="C9" si="10">(((C$13-C$8)/($A$13-$A$8))*($A9-$A$8))+C$8</f>
        <v>361.35</v>
      </c>
      <c r="D9" s="60">
        <f t="shared" ref="D9:I9" si="11">(((D$13-D$8)/($A$13-$A$8))*($A9-$A$8))+D$8</f>
        <v>76.649999999999991</v>
      </c>
      <c r="E9" s="60">
        <f t="shared" si="11"/>
        <v>1547.6000000000001</v>
      </c>
      <c r="F9" s="60">
        <f t="shared" si="11"/>
        <v>30.869999999999997</v>
      </c>
      <c r="G9" s="60">
        <f t="shared" si="11"/>
        <v>547.5</v>
      </c>
      <c r="H9" s="60">
        <f t="shared" si="11"/>
        <v>98.550000000000011</v>
      </c>
      <c r="I9" s="60">
        <f t="shared" si="11"/>
        <v>200.75000000000003</v>
      </c>
      <c r="J9" s="48">
        <f>B9*'Windsor Inventory'!$A$270</f>
        <v>2868.544699812905</v>
      </c>
      <c r="K9" s="48">
        <f>C9*'Healdsburg Inventory'!$A$141</f>
        <v>77.801494000940167</v>
      </c>
      <c r="L9" s="60">
        <f>D9*'Cloverdale Inventory'!$A$138</f>
        <v>8.4062560106536104</v>
      </c>
      <c r="M9" s="48">
        <f>E9*'City of Petaluma'!$A$175</f>
        <v>168.11822378355379</v>
      </c>
      <c r="N9" s="59">
        <f>'Annual and Cumulative GHGs'!F9*'Lytton Rancheria'!$A$143</f>
        <v>3.4350321120589866</v>
      </c>
      <c r="O9" s="48">
        <f>G9*'Sonoma - SVCSD '!$A$151</f>
        <v>14.963432809839166</v>
      </c>
      <c r="P9" s="59">
        <f>H9*'Sonoma - RRCSD'!$A$148</f>
        <v>4.8676224819891205</v>
      </c>
      <c r="Q9" s="48">
        <f>I9*'Sonoma - ALWSZ'!$A$106</f>
        <v>14.550628547776727</v>
      </c>
      <c r="R9" s="48">
        <f>B9*'Windsor Inventory'!$F$272</f>
        <v>194.40017984565858</v>
      </c>
      <c r="S9" s="48">
        <f>C9*'Healdsburg Inventory'!$F$141</f>
        <v>103.52759418549607</v>
      </c>
      <c r="T9" s="48">
        <f>D9*'Cloverdale Inventory'!$F$139</f>
        <v>18.820072249663973</v>
      </c>
      <c r="U9" s="48">
        <f>E9*'City of Petaluma'!$F$176</f>
        <v>473.23087055839221</v>
      </c>
      <c r="V9" s="59">
        <f>F9*'Lytton Rancheria'!$F$152</f>
        <v>7.1330757181696871</v>
      </c>
      <c r="W9" s="48">
        <f>G9*'Sonoma - SVCSD '!$F$152</f>
        <v>145.40849121566978</v>
      </c>
      <c r="X9" s="48">
        <f>H9*'Sonoma - RRCSD'!$F$149</f>
        <v>24.582654943950654</v>
      </c>
      <c r="Y9" s="48">
        <f>I9*'Sonoma - ALWSZ'!$F$107</f>
        <v>46.526356049656044</v>
      </c>
      <c r="Z9" s="48">
        <f t="shared" si="4"/>
        <v>2147.0580947930598</v>
      </c>
      <c r="AA9" s="48">
        <f t="shared" si="7"/>
        <v>4251.4218496384183</v>
      </c>
    </row>
    <row r="10" spans="1:28" x14ac:dyDescent="0.3">
      <c r="A10" s="47">
        <v>2032</v>
      </c>
      <c r="B10" s="48">
        <f t="shared" ref="B10:B12" si="12">((($B$13-$B$8)/($A$13-$A$8))*($A10-$A$8))+$B$8</f>
        <v>731.89800000000002</v>
      </c>
      <c r="C10" s="48">
        <f t="shared" ref="C10:I12" si="13">(((C$13-C$8)/($A$13-$A$8))*($A10-$A$8))+C$8</f>
        <v>361.35</v>
      </c>
      <c r="D10" s="60">
        <f t="shared" si="13"/>
        <v>76.649999999999991</v>
      </c>
      <c r="E10" s="60">
        <f t="shared" si="13"/>
        <v>1562.2</v>
      </c>
      <c r="F10" s="60">
        <f t="shared" si="13"/>
        <v>30.869999999999997</v>
      </c>
      <c r="G10" s="60">
        <f t="shared" si="13"/>
        <v>547.5</v>
      </c>
      <c r="H10" s="60">
        <f t="shared" si="13"/>
        <v>98.550000000000011</v>
      </c>
      <c r="I10" s="60">
        <f t="shared" si="13"/>
        <v>200.75000000000003</v>
      </c>
      <c r="J10" s="48">
        <f>B10*'Windsor Inventory'!$A$270</f>
        <v>2917.4304281116033</v>
      </c>
      <c r="K10" s="48">
        <f>C10*'Healdsburg Inventory'!$A$141</f>
        <v>77.801494000940167</v>
      </c>
      <c r="L10" s="60">
        <f>D10*'Cloverdale Inventory'!$A$138</f>
        <v>8.4062560106536104</v>
      </c>
      <c r="M10" s="48">
        <f>E10*'City of Petaluma'!$A$175</f>
        <v>169.7042447626439</v>
      </c>
      <c r="N10" s="59">
        <f>'Annual and Cumulative GHGs'!F10*'Lytton Rancheria'!$A$143</f>
        <v>3.4350321120589866</v>
      </c>
      <c r="O10" s="48">
        <f>G10*'Sonoma - SVCSD '!$A$151</f>
        <v>14.963432809839166</v>
      </c>
      <c r="P10" s="59">
        <f>H10*'Sonoma - RRCSD'!$A$148</f>
        <v>4.8676224819891205</v>
      </c>
      <c r="Q10" s="48">
        <f>I10*'Sonoma - ALWSZ'!$A$106</f>
        <v>14.550628547776727</v>
      </c>
      <c r="R10" s="48">
        <f>B10*'Windsor Inventory'!$F$272</f>
        <v>197.71314700066677</v>
      </c>
      <c r="S10" s="48">
        <f>C10*'Healdsburg Inventory'!$F$141</f>
        <v>103.52759418549607</v>
      </c>
      <c r="T10" s="48">
        <f>D10*'Cloverdale Inventory'!$F$139</f>
        <v>18.820072249663973</v>
      </c>
      <c r="U10" s="48">
        <f>E10*'City of Petaluma'!$F$176</f>
        <v>477.69531273347133</v>
      </c>
      <c r="V10" s="59">
        <f>F10*'Lytton Rancheria'!$F$152</f>
        <v>7.1330757181696871</v>
      </c>
      <c r="W10" s="48">
        <f>G10*'Sonoma - SVCSD '!$F$152</f>
        <v>145.40849121566978</v>
      </c>
      <c r="X10" s="48">
        <f>H10*'Sonoma - RRCSD'!$F$149</f>
        <v>24.582654943950654</v>
      </c>
      <c r="Y10" s="48">
        <f>I10*'Sonoma - ALWSZ'!$F$107</f>
        <v>46.526356049656044</v>
      </c>
      <c r="Z10" s="48">
        <f t="shared" si="4"/>
        <v>2189.7524347407611</v>
      </c>
      <c r="AA10" s="48">
        <f t="shared" si="7"/>
        <v>6441.1742843791799</v>
      </c>
    </row>
    <row r="11" spans="1:28" x14ac:dyDescent="0.3">
      <c r="A11" s="47">
        <v>2033</v>
      </c>
      <c r="B11" s="48">
        <f t="shared" si="12"/>
        <v>744.16199999999992</v>
      </c>
      <c r="C11" s="48">
        <f t="shared" si="13"/>
        <v>361.35</v>
      </c>
      <c r="D11" s="60">
        <f t="shared" si="13"/>
        <v>76.649999999999991</v>
      </c>
      <c r="E11" s="60">
        <f t="shared" si="13"/>
        <v>1576.8000000000002</v>
      </c>
      <c r="F11" s="60">
        <f t="shared" si="13"/>
        <v>30.869999999999997</v>
      </c>
      <c r="G11" s="60">
        <f t="shared" si="13"/>
        <v>547.5</v>
      </c>
      <c r="H11" s="60">
        <f t="shared" si="13"/>
        <v>98.550000000000011</v>
      </c>
      <c r="I11" s="60">
        <f t="shared" si="13"/>
        <v>200.75000000000003</v>
      </c>
      <c r="J11" s="48">
        <f>B11*'Windsor Inventory'!$A$270</f>
        <v>2966.3161564103011</v>
      </c>
      <c r="K11" s="48">
        <f>C11*'Healdsburg Inventory'!$A$141</f>
        <v>77.801494000940167</v>
      </c>
      <c r="L11" s="60">
        <f>D11*'Cloverdale Inventory'!$A$138</f>
        <v>8.4062560106536104</v>
      </c>
      <c r="M11" s="48">
        <f>E11*'City of Petaluma'!$A$175</f>
        <v>171.29026574173406</v>
      </c>
      <c r="N11" s="59">
        <f>'Annual and Cumulative GHGs'!F11*'Lytton Rancheria'!$A$143</f>
        <v>3.4350321120589866</v>
      </c>
      <c r="O11" s="48">
        <f>G11*'Sonoma - SVCSD '!$A$151</f>
        <v>14.963432809839166</v>
      </c>
      <c r="P11" s="59">
        <f>H11*'Sonoma - RRCSD'!$A$148</f>
        <v>4.8676224819891205</v>
      </c>
      <c r="Q11" s="48">
        <f>I11*'Sonoma - ALWSZ'!$A$106</f>
        <v>14.550628547776727</v>
      </c>
      <c r="R11" s="48">
        <f>B11*'Windsor Inventory'!$F$272</f>
        <v>201.02611415567492</v>
      </c>
      <c r="S11" s="48">
        <f>C11*'Healdsburg Inventory'!$F$141</f>
        <v>103.52759418549607</v>
      </c>
      <c r="T11" s="48">
        <f>D11*'Cloverdale Inventory'!$F$139</f>
        <v>18.820072249663973</v>
      </c>
      <c r="U11" s="48">
        <f>E11*'City of Petaluma'!$F$176</f>
        <v>482.15975490855055</v>
      </c>
      <c r="V11" s="59">
        <f>F11*'Lytton Rancheria'!$F$152</f>
        <v>7.1330757181696871</v>
      </c>
      <c r="W11" s="48">
        <f>G11*'Sonoma - SVCSD '!$F$152</f>
        <v>145.40849121566978</v>
      </c>
      <c r="X11" s="48">
        <f>H11*'Sonoma - RRCSD'!$F$149</f>
        <v>24.582654943950654</v>
      </c>
      <c r="Y11" s="48">
        <f>I11*'Sonoma - ALWSZ'!$F$107</f>
        <v>46.526356049656044</v>
      </c>
      <c r="Z11" s="48">
        <f t="shared" si="4"/>
        <v>2232.4467746884616</v>
      </c>
      <c r="AA11" s="48">
        <f t="shared" si="7"/>
        <v>8673.6210590676419</v>
      </c>
    </row>
    <row r="12" spans="1:28" x14ac:dyDescent="0.3">
      <c r="A12" s="47">
        <v>2034</v>
      </c>
      <c r="B12" s="48">
        <f t="shared" si="12"/>
        <v>756.42599999999993</v>
      </c>
      <c r="C12" s="48">
        <f t="shared" si="13"/>
        <v>361.35</v>
      </c>
      <c r="D12" s="60">
        <f t="shared" si="13"/>
        <v>76.649999999999991</v>
      </c>
      <c r="E12" s="60">
        <f t="shared" si="13"/>
        <v>1591.4</v>
      </c>
      <c r="F12" s="60">
        <f t="shared" si="13"/>
        <v>30.869999999999997</v>
      </c>
      <c r="G12" s="60">
        <f t="shared" si="13"/>
        <v>547.5</v>
      </c>
      <c r="H12" s="60">
        <f t="shared" si="13"/>
        <v>98.550000000000011</v>
      </c>
      <c r="I12" s="60">
        <f t="shared" si="13"/>
        <v>200.75000000000003</v>
      </c>
      <c r="J12" s="48">
        <f>B12*'Windsor Inventory'!$A$270</f>
        <v>3015.2018847089994</v>
      </c>
      <c r="K12" s="48">
        <f>C12*'Healdsburg Inventory'!$A$141</f>
        <v>77.801494000940167</v>
      </c>
      <c r="L12" s="60">
        <f>D12*'Cloverdale Inventory'!$A$138</f>
        <v>8.4062560106536104</v>
      </c>
      <c r="M12" s="48">
        <f>E12*'City of Petaluma'!$A$175</f>
        <v>172.87628672082417</v>
      </c>
      <c r="N12" s="59">
        <f>'Annual and Cumulative GHGs'!F12*'Lytton Rancheria'!$A$143</f>
        <v>3.4350321120589866</v>
      </c>
      <c r="O12" s="48">
        <f>G12*'Sonoma - SVCSD '!$A$151</f>
        <v>14.963432809839166</v>
      </c>
      <c r="P12" s="59">
        <f>H12*'Sonoma - RRCSD'!$A$148</f>
        <v>4.8676224819891205</v>
      </c>
      <c r="Q12" s="48">
        <f>I12*'Sonoma - ALWSZ'!$A$106</f>
        <v>14.550628547776727</v>
      </c>
      <c r="R12" s="48">
        <f>B12*'Windsor Inventory'!$F$272</f>
        <v>204.3390813106831</v>
      </c>
      <c r="S12" s="48">
        <f>C12*'Healdsburg Inventory'!$F$141</f>
        <v>103.52759418549607</v>
      </c>
      <c r="T12" s="48">
        <f>D12*'Cloverdale Inventory'!$F$139</f>
        <v>18.820072249663973</v>
      </c>
      <c r="U12" s="48">
        <f>E12*'City of Petaluma'!$F$176</f>
        <v>486.62419708362972</v>
      </c>
      <c r="V12" s="59">
        <f>F12*'Lytton Rancheria'!$F$152</f>
        <v>7.1330757181696871</v>
      </c>
      <c r="W12" s="48">
        <f>G12*'Sonoma - SVCSD '!$F$152</f>
        <v>145.40849121566978</v>
      </c>
      <c r="X12" s="48">
        <f>H12*'Sonoma - RRCSD'!$F$149</f>
        <v>24.582654943950654</v>
      </c>
      <c r="Y12" s="48">
        <f>I12*'Sonoma - ALWSZ'!$F$107</f>
        <v>46.526356049656044</v>
      </c>
      <c r="Z12" s="48">
        <f t="shared" si="4"/>
        <v>2275.1411146361625</v>
      </c>
      <c r="AA12" s="48">
        <f t="shared" si="7"/>
        <v>10948.762173703804</v>
      </c>
    </row>
    <row r="13" spans="1:28" x14ac:dyDescent="0.3">
      <c r="A13" s="47">
        <v>2035</v>
      </c>
      <c r="B13" s="48">
        <f>'Windsor Inventory'!$B$40*365</f>
        <v>768.68999999999994</v>
      </c>
      <c r="C13" s="48">
        <f>'Healdsburg Inventory'!$B$39*365</f>
        <v>361.35</v>
      </c>
      <c r="D13" s="60">
        <f>'Cloverdale Inventory'!$B$39*365</f>
        <v>76.649999999999991</v>
      </c>
      <c r="E13" s="48">
        <f>365*'City of Petaluma'!$B$39</f>
        <v>1606.0000000000002</v>
      </c>
      <c r="F13" s="48">
        <f>365*'Lytton Rancheria'!$B$39</f>
        <v>30.869999999999997</v>
      </c>
      <c r="G13" s="48">
        <f>365*'Sonoma - SVCSD '!$B$39</f>
        <v>547.5</v>
      </c>
      <c r="H13" s="48">
        <f>365*'Sonoma - RRCSD'!$B$35</f>
        <v>98.550000000000011</v>
      </c>
      <c r="I13" s="48">
        <f>365*'Sonoma - ALWSZ'!$B$35</f>
        <v>200.75000000000003</v>
      </c>
      <c r="J13" s="48">
        <f>B13*'Windsor Inventory'!$A$270</f>
        <v>3064.0876130076977</v>
      </c>
      <c r="K13" s="48">
        <f>C13*'Healdsburg Inventory'!$A$141</f>
        <v>77.801494000940167</v>
      </c>
      <c r="L13" s="60">
        <f>D13*'Cloverdale Inventory'!$A$138</f>
        <v>8.4062560106536104</v>
      </c>
      <c r="M13" s="48">
        <f>E13*'City of Petaluma'!$A$175</f>
        <v>174.46230769991431</v>
      </c>
      <c r="N13" s="59">
        <f>'Annual and Cumulative GHGs'!F13*'Lytton Rancheria'!$A$143</f>
        <v>3.4350321120589866</v>
      </c>
      <c r="O13" s="48">
        <f>G13*'Sonoma - SVCSD '!$A$151</f>
        <v>14.963432809839166</v>
      </c>
      <c r="P13" s="59">
        <f>H13*'Sonoma - RRCSD'!$A$148</f>
        <v>4.8676224819891205</v>
      </c>
      <c r="Q13" s="48">
        <f>I13*'Sonoma - ALWSZ'!$A$106</f>
        <v>14.550628547776727</v>
      </c>
      <c r="R13" s="48">
        <f>B13*'Windsor Inventory'!$F$272</f>
        <v>207.65204846569128</v>
      </c>
      <c r="S13" s="48">
        <f>C13*'Healdsburg Inventory'!$F$141</f>
        <v>103.52759418549607</v>
      </c>
      <c r="T13" s="48">
        <f>D13*'Cloverdale Inventory'!$F$139</f>
        <v>18.820072249663973</v>
      </c>
      <c r="U13" s="48">
        <f>E13*'City of Petaluma'!$F$176</f>
        <v>491.08863925870889</v>
      </c>
      <c r="V13" s="59">
        <f>F13*'Lytton Rancheria'!$F$152</f>
        <v>7.1330757181696871</v>
      </c>
      <c r="W13" s="48">
        <f>G13*'Sonoma - SVCSD '!$F$152</f>
        <v>145.40849121566978</v>
      </c>
      <c r="X13" s="48">
        <f>H13*'Sonoma - RRCSD'!$F$149</f>
        <v>24.582654943950654</v>
      </c>
      <c r="Y13" s="48">
        <f>I13*'Sonoma - ALWSZ'!$F$107</f>
        <v>46.526356049656044</v>
      </c>
      <c r="Z13" s="48">
        <f t="shared" si="4"/>
        <v>2317.8354545838638</v>
      </c>
      <c r="AA13" s="48">
        <f t="shared" si="7"/>
        <v>13266.597628287669</v>
      </c>
    </row>
    <row r="14" spans="1:28" x14ac:dyDescent="0.3">
      <c r="A14" s="47">
        <v>2036</v>
      </c>
      <c r="B14" s="48">
        <f t="shared" ref="B14:I14" si="14">(((B$18-B$13)/($A$18-$A$13))*($A14-$A$13))+B$13</f>
        <v>780.95399999999995</v>
      </c>
      <c r="C14" s="48">
        <f t="shared" si="14"/>
        <v>361.35</v>
      </c>
      <c r="D14" s="60">
        <f t="shared" si="14"/>
        <v>76.649999999999991</v>
      </c>
      <c r="E14" s="60">
        <f t="shared" si="14"/>
        <v>1613.3000000000002</v>
      </c>
      <c r="F14" s="60">
        <f t="shared" si="14"/>
        <v>30.869999999999997</v>
      </c>
      <c r="G14" s="60">
        <f t="shared" si="14"/>
        <v>554.79999999999995</v>
      </c>
      <c r="H14" s="60">
        <f t="shared" si="14"/>
        <v>98.550000000000011</v>
      </c>
      <c r="I14" s="60">
        <f t="shared" si="14"/>
        <v>200.75000000000003</v>
      </c>
      <c r="J14" s="48">
        <f>B14*'Windsor Inventory'!$A$270</f>
        <v>3112.9733413063964</v>
      </c>
      <c r="K14" s="48">
        <f>C14*'Healdsburg Inventory'!$A$141</f>
        <v>77.801494000940167</v>
      </c>
      <c r="L14" s="60">
        <f>D14*'Cloverdale Inventory'!$A$138</f>
        <v>8.4062560106536104</v>
      </c>
      <c r="M14" s="48">
        <f>E14*'City of Petaluma'!$A$175</f>
        <v>175.25531818945939</v>
      </c>
      <c r="N14" s="59">
        <f>'Annual and Cumulative GHGs'!F14*'Lytton Rancheria'!$A$143</f>
        <v>3.4350321120589866</v>
      </c>
      <c r="O14" s="48">
        <f>G14*'Sonoma - SVCSD '!$A$151</f>
        <v>15.162945247303686</v>
      </c>
      <c r="P14" s="59">
        <f>H14*'Sonoma - RRCSD'!$A$148</f>
        <v>4.8676224819891205</v>
      </c>
      <c r="Q14" s="48">
        <f>I14*'Sonoma - ALWSZ'!$A$106</f>
        <v>14.550628547776727</v>
      </c>
      <c r="R14" s="48">
        <f>B14*'Windsor Inventory'!$F$272</f>
        <v>210.96501562069946</v>
      </c>
      <c r="S14" s="48">
        <f>C14*'Healdsburg Inventory'!$F$141</f>
        <v>103.52759418549607</v>
      </c>
      <c r="T14" s="48">
        <f>D14*'Cloverdale Inventory'!$F$139</f>
        <v>18.820072249663973</v>
      </c>
      <c r="U14" s="48">
        <f>E14*'City of Petaluma'!$F$176</f>
        <v>493.32086034624848</v>
      </c>
      <c r="V14" s="59">
        <f>F14*'Lytton Rancheria'!$F$152</f>
        <v>7.1330757181696871</v>
      </c>
      <c r="W14" s="48">
        <f>G14*'Sonoma - SVCSD '!$F$152</f>
        <v>147.34727109854538</v>
      </c>
      <c r="X14" s="48">
        <f>H14*'Sonoma - RRCSD'!$F$149</f>
        <v>24.582654943950654</v>
      </c>
      <c r="Y14" s="48">
        <f>I14*'Sonoma - ALWSZ'!$F$107</f>
        <v>46.526356049656044</v>
      </c>
      <c r="Z14" s="48">
        <f t="shared" si="4"/>
        <v>2360.2297376841489</v>
      </c>
      <c r="AA14" s="48">
        <f t="shared" si="7"/>
        <v>15626.827365971818</v>
      </c>
    </row>
    <row r="15" spans="1:28" x14ac:dyDescent="0.3">
      <c r="A15" s="47">
        <v>2037</v>
      </c>
      <c r="B15" s="48">
        <f t="shared" ref="B15:I17" si="15">(((B$18-B$13)/($A$18-$A$13))*($A15-$A$13))+B$13</f>
        <v>793.21799999999996</v>
      </c>
      <c r="C15" s="48">
        <f t="shared" si="15"/>
        <v>361.35</v>
      </c>
      <c r="D15" s="60">
        <f t="shared" si="15"/>
        <v>76.649999999999991</v>
      </c>
      <c r="E15" s="60">
        <f t="shared" si="15"/>
        <v>1620.6000000000001</v>
      </c>
      <c r="F15" s="60">
        <f t="shared" si="15"/>
        <v>30.869999999999997</v>
      </c>
      <c r="G15" s="60">
        <f t="shared" si="15"/>
        <v>562.1</v>
      </c>
      <c r="H15" s="60">
        <f t="shared" si="15"/>
        <v>98.550000000000011</v>
      </c>
      <c r="I15" s="60">
        <f t="shared" si="15"/>
        <v>200.75000000000003</v>
      </c>
      <c r="J15" s="48">
        <f>B15*'Windsor Inventory'!$A$270</f>
        <v>3161.8590696050946</v>
      </c>
      <c r="K15" s="48">
        <f>C15*'Healdsburg Inventory'!$A$141</f>
        <v>77.801494000940167</v>
      </c>
      <c r="L15" s="60">
        <f>D15*'Cloverdale Inventory'!$A$138</f>
        <v>8.4062560106536104</v>
      </c>
      <c r="M15" s="48">
        <f>E15*'City of Petaluma'!$A$175</f>
        <v>176.04832867900444</v>
      </c>
      <c r="N15" s="59">
        <f>'Annual and Cumulative GHGs'!F15*'Lytton Rancheria'!$A$143</f>
        <v>3.4350321120589866</v>
      </c>
      <c r="O15" s="48">
        <f>G15*'Sonoma - SVCSD '!$A$151</f>
        <v>15.362457684768209</v>
      </c>
      <c r="P15" s="59">
        <f>H15*'Sonoma - RRCSD'!$A$148</f>
        <v>4.8676224819891205</v>
      </c>
      <c r="Q15" s="48">
        <f>I15*'Sonoma - ALWSZ'!$A$106</f>
        <v>14.550628547776727</v>
      </c>
      <c r="R15" s="48">
        <f>B15*'Windsor Inventory'!$F$272</f>
        <v>214.27798277570764</v>
      </c>
      <c r="S15" s="48">
        <f>C15*'Healdsburg Inventory'!$F$141</f>
        <v>103.52759418549607</v>
      </c>
      <c r="T15" s="48">
        <f>D15*'Cloverdale Inventory'!$F$139</f>
        <v>18.820072249663973</v>
      </c>
      <c r="U15" s="48">
        <f>E15*'City of Petaluma'!$F$176</f>
        <v>495.55308143378807</v>
      </c>
      <c r="V15" s="59">
        <f>F15*'Lytton Rancheria'!$F$152</f>
        <v>7.1330757181696871</v>
      </c>
      <c r="W15" s="48">
        <f>G15*'Sonoma - SVCSD '!$F$152</f>
        <v>149.286050981421</v>
      </c>
      <c r="X15" s="48">
        <f>H15*'Sonoma - RRCSD'!$F$149</f>
        <v>24.582654943950654</v>
      </c>
      <c r="Y15" s="48">
        <f>I15*'Sonoma - ALWSZ'!$F$107</f>
        <v>46.526356049656044</v>
      </c>
      <c r="Z15" s="48">
        <f t="shared" si="4"/>
        <v>2402.624020784433</v>
      </c>
      <c r="AA15" s="48">
        <f t="shared" si="7"/>
        <v>18029.451386756249</v>
      </c>
    </row>
    <row r="16" spans="1:28" x14ac:dyDescent="0.3">
      <c r="A16" s="47">
        <v>2038</v>
      </c>
      <c r="B16" s="48">
        <f t="shared" si="15"/>
        <v>805.48199999999997</v>
      </c>
      <c r="C16" s="48">
        <f t="shared" si="15"/>
        <v>361.35</v>
      </c>
      <c r="D16" s="60">
        <f t="shared" si="15"/>
        <v>76.649999999999991</v>
      </c>
      <c r="E16" s="60">
        <f t="shared" si="15"/>
        <v>1627.9</v>
      </c>
      <c r="F16" s="60">
        <f t="shared" si="15"/>
        <v>30.869999999999997</v>
      </c>
      <c r="G16" s="60">
        <f t="shared" si="15"/>
        <v>569.4</v>
      </c>
      <c r="H16" s="60">
        <f t="shared" si="15"/>
        <v>98.550000000000011</v>
      </c>
      <c r="I16" s="60">
        <f t="shared" si="15"/>
        <v>200.75000000000003</v>
      </c>
      <c r="J16" s="48">
        <f>B16*'Windsor Inventory'!$A$270</f>
        <v>3210.7447979037929</v>
      </c>
      <c r="K16" s="48">
        <f>C16*'Healdsburg Inventory'!$A$141</f>
        <v>77.801494000940167</v>
      </c>
      <c r="L16" s="60">
        <f>D16*'Cloverdale Inventory'!$A$138</f>
        <v>8.4062560106536104</v>
      </c>
      <c r="M16" s="48">
        <f>E16*'City of Petaluma'!$A$175</f>
        <v>176.8413391685495</v>
      </c>
      <c r="N16" s="59">
        <f>'Annual and Cumulative GHGs'!F16*'Lytton Rancheria'!$A$143</f>
        <v>3.4350321120589866</v>
      </c>
      <c r="O16" s="48">
        <f>G16*'Sonoma - SVCSD '!$A$151</f>
        <v>15.561970122232731</v>
      </c>
      <c r="P16" s="59">
        <f>H16*'Sonoma - RRCSD'!$A$148</f>
        <v>4.8676224819891205</v>
      </c>
      <c r="Q16" s="48">
        <f>I16*'Sonoma - ALWSZ'!$A$106</f>
        <v>14.550628547776727</v>
      </c>
      <c r="R16" s="48">
        <f>B16*'Windsor Inventory'!$F$272</f>
        <v>217.59094993071582</v>
      </c>
      <c r="S16" s="48">
        <f>C16*'Healdsburg Inventory'!$F$141</f>
        <v>103.52759418549607</v>
      </c>
      <c r="T16" s="48">
        <f>D16*'Cloverdale Inventory'!$F$139</f>
        <v>18.820072249663973</v>
      </c>
      <c r="U16" s="48">
        <f>E16*'City of Petaluma'!$F$176</f>
        <v>497.78530252132765</v>
      </c>
      <c r="V16" s="59">
        <f>F16*'Lytton Rancheria'!$F$152</f>
        <v>7.1330757181696871</v>
      </c>
      <c r="W16" s="48">
        <f>G16*'Sonoma - SVCSD '!$F$152</f>
        <v>151.22483086429656</v>
      </c>
      <c r="X16" s="48">
        <f>H16*'Sonoma - RRCSD'!$F$149</f>
        <v>24.582654943950654</v>
      </c>
      <c r="Y16" s="48">
        <f>I16*'Sonoma - ALWSZ'!$F$107</f>
        <v>46.526356049656044</v>
      </c>
      <c r="Z16" s="48">
        <f t="shared" si="4"/>
        <v>2445.0183038847176</v>
      </c>
      <c r="AA16" s="48">
        <f t="shared" si="7"/>
        <v>20474.469690640966</v>
      </c>
    </row>
    <row r="17" spans="1:27" x14ac:dyDescent="0.3">
      <c r="A17" s="47">
        <v>2039</v>
      </c>
      <c r="B17" s="48">
        <f t="shared" si="15"/>
        <v>817.74599999999998</v>
      </c>
      <c r="C17" s="48">
        <f t="shared" si="15"/>
        <v>361.35</v>
      </c>
      <c r="D17" s="60">
        <f t="shared" si="15"/>
        <v>76.649999999999991</v>
      </c>
      <c r="E17" s="60">
        <f t="shared" si="15"/>
        <v>1635.2</v>
      </c>
      <c r="F17" s="60">
        <f t="shared" si="15"/>
        <v>30.869999999999997</v>
      </c>
      <c r="G17" s="60">
        <f t="shared" si="15"/>
        <v>576.70000000000005</v>
      </c>
      <c r="H17" s="60">
        <f t="shared" si="15"/>
        <v>98.550000000000011</v>
      </c>
      <c r="I17" s="60">
        <f t="shared" si="15"/>
        <v>200.75000000000003</v>
      </c>
      <c r="J17" s="48">
        <f>B17*'Windsor Inventory'!$A$270</f>
        <v>3259.6305262024912</v>
      </c>
      <c r="K17" s="48">
        <f>C17*'Healdsburg Inventory'!$A$141</f>
        <v>77.801494000940167</v>
      </c>
      <c r="L17" s="60">
        <f>D17*'Cloverdale Inventory'!$A$138</f>
        <v>8.4062560106536104</v>
      </c>
      <c r="M17" s="48">
        <f>E17*'City of Petaluma'!$A$175</f>
        <v>177.63434965809455</v>
      </c>
      <c r="N17" s="59">
        <f>'Annual and Cumulative GHGs'!F17*'Lytton Rancheria'!$A$143</f>
        <v>3.4350321120589866</v>
      </c>
      <c r="O17" s="48">
        <f>G17*'Sonoma - SVCSD '!$A$151</f>
        <v>15.761482559697255</v>
      </c>
      <c r="P17" s="59">
        <f>H17*'Sonoma - RRCSD'!$A$148</f>
        <v>4.8676224819891205</v>
      </c>
      <c r="Q17" s="48">
        <f>I17*'Sonoma - ALWSZ'!$A$106</f>
        <v>14.550628547776727</v>
      </c>
      <c r="R17" s="48">
        <f>B17*'Windsor Inventory'!$F$272</f>
        <v>220.903917085724</v>
      </c>
      <c r="S17" s="48">
        <f>C17*'Healdsburg Inventory'!$F$141</f>
        <v>103.52759418549607</v>
      </c>
      <c r="T17" s="48">
        <f>D17*'Cloverdale Inventory'!$F$139</f>
        <v>18.820072249663973</v>
      </c>
      <c r="U17" s="48">
        <f>E17*'City of Petaluma'!$F$176</f>
        <v>500.01752360886718</v>
      </c>
      <c r="V17" s="59">
        <f>F17*'Lytton Rancheria'!$F$152</f>
        <v>7.1330757181696871</v>
      </c>
      <c r="W17" s="48">
        <f>G17*'Sonoma - SVCSD '!$F$152</f>
        <v>153.16361074717219</v>
      </c>
      <c r="X17" s="48">
        <f>H17*'Sonoma - RRCSD'!$F$149</f>
        <v>24.582654943950654</v>
      </c>
      <c r="Y17" s="48">
        <f>I17*'Sonoma - ALWSZ'!$F$107</f>
        <v>46.526356049656044</v>
      </c>
      <c r="Z17" s="48">
        <f t="shared" si="4"/>
        <v>2487.4125869850022</v>
      </c>
      <c r="AA17" s="48">
        <f t="shared" si="7"/>
        <v>22961.882277625969</v>
      </c>
    </row>
    <row r="18" spans="1:27" x14ac:dyDescent="0.3">
      <c r="A18" s="47">
        <v>2040</v>
      </c>
      <c r="B18" s="48">
        <f>'Windsor Inventory'!$B$41*365</f>
        <v>830.01</v>
      </c>
      <c r="C18" s="48">
        <f>'Healdsburg Inventory'!$B$40*365</f>
        <v>361.35</v>
      </c>
      <c r="D18" s="60">
        <f>'Cloverdale Inventory'!$B$40*365</f>
        <v>76.649999999999991</v>
      </c>
      <c r="E18" s="48">
        <f>365*'City of Petaluma'!$B$40</f>
        <v>1642.5</v>
      </c>
      <c r="F18" s="48">
        <f>365*'Lytton Rancheria'!$B$40</f>
        <v>30.869999999999997</v>
      </c>
      <c r="G18" s="48">
        <f>365*'Sonoma - SVCSD '!$B$40</f>
        <v>584</v>
      </c>
      <c r="H18" s="48">
        <f>365*'Sonoma - RRCSD'!$B$35</f>
        <v>98.550000000000011</v>
      </c>
      <c r="I18" s="48">
        <f>365*'Sonoma - ALWSZ'!$B$35</f>
        <v>200.75000000000003</v>
      </c>
      <c r="J18" s="48">
        <f>B18*'Windsor Inventory'!$A$270</f>
        <v>3308.5162545011895</v>
      </c>
      <c r="K18" s="48">
        <f>C18*'Healdsburg Inventory'!$A$141</f>
        <v>77.801494000940167</v>
      </c>
      <c r="L18" s="60">
        <f>D18*'Cloverdale Inventory'!$A$138</f>
        <v>8.4062560106536104</v>
      </c>
      <c r="M18" s="48">
        <f>E18*'City of Petaluma'!$A$175</f>
        <v>178.4273601476396</v>
      </c>
      <c r="N18" s="59">
        <f>'Annual and Cumulative GHGs'!F18*'Lytton Rancheria'!$A$143</f>
        <v>3.4350321120589866</v>
      </c>
      <c r="O18" s="48">
        <f>G18*'Sonoma - SVCSD '!$A$151</f>
        <v>15.960994997161775</v>
      </c>
      <c r="P18" s="59">
        <f>H18*'Sonoma - RRCSD'!$A$148</f>
        <v>4.8676224819891205</v>
      </c>
      <c r="Q18" s="48">
        <f>I18*'Sonoma - ALWSZ'!$A$106</f>
        <v>14.550628547776727</v>
      </c>
      <c r="R18" s="48">
        <f>B18*'Windsor Inventory'!$F$272</f>
        <v>224.21688424073218</v>
      </c>
      <c r="S18" s="48">
        <f>C18*'Healdsburg Inventory'!$F$141</f>
        <v>103.52759418549607</v>
      </c>
      <c r="T18" s="48">
        <f>D18*'Cloverdale Inventory'!$F$139</f>
        <v>18.820072249663973</v>
      </c>
      <c r="U18" s="48">
        <f>E18*'City of Petaluma'!$F$176</f>
        <v>502.24974469640676</v>
      </c>
      <c r="V18" s="59">
        <f>F18*'Lytton Rancheria'!$F$152</f>
        <v>7.1330757181696871</v>
      </c>
      <c r="W18" s="48">
        <f>G18*'Sonoma - SVCSD '!$F$152</f>
        <v>155.10239063004778</v>
      </c>
      <c r="X18" s="48">
        <f>H18*'Sonoma - RRCSD'!$F$149</f>
        <v>24.582654943950654</v>
      </c>
      <c r="Y18" s="48">
        <f>I18*'Sonoma - ALWSZ'!$F$107</f>
        <v>46.526356049656044</v>
      </c>
      <c r="Z18" s="48">
        <f t="shared" si="4"/>
        <v>2529.8068700852868</v>
      </c>
      <c r="AA18" s="48">
        <f t="shared" si="7"/>
        <v>25491.689147711255</v>
      </c>
    </row>
    <row r="19" spans="1:27" x14ac:dyDescent="0.3">
      <c r="A19" s="47">
        <v>2041</v>
      </c>
      <c r="B19" s="48">
        <f t="shared" ref="B19:I19" si="16">(((B$23-B$18)/($A$23-$A$18))*($A19-$A$18))+B$18</f>
        <v>842.274</v>
      </c>
      <c r="C19" s="48">
        <f t="shared" si="16"/>
        <v>361.35</v>
      </c>
      <c r="D19" s="60">
        <f t="shared" si="16"/>
        <v>76.649999999999991</v>
      </c>
      <c r="E19" s="60">
        <f t="shared" si="16"/>
        <v>1649.8</v>
      </c>
      <c r="F19" s="60">
        <f t="shared" si="16"/>
        <v>30.869999999999997</v>
      </c>
      <c r="G19" s="60">
        <f t="shared" si="16"/>
        <v>584</v>
      </c>
      <c r="H19" s="60">
        <f t="shared" si="16"/>
        <v>98.550000000000011</v>
      </c>
      <c r="I19" s="60">
        <f t="shared" si="16"/>
        <v>200.75000000000003</v>
      </c>
      <c r="J19" s="48">
        <f>B19*'Windsor Inventory'!$A$270</f>
        <v>3357.4019827998882</v>
      </c>
      <c r="K19" s="48">
        <f>C19*'Healdsburg Inventory'!$A$141</f>
        <v>77.801494000940167</v>
      </c>
      <c r="L19" s="60">
        <f>D19*'Cloverdale Inventory'!$A$138</f>
        <v>8.4062560106536104</v>
      </c>
      <c r="M19" s="48">
        <f>E19*'City of Petaluma'!$A$175</f>
        <v>179.22037063718469</v>
      </c>
      <c r="N19" s="59">
        <f>'Annual and Cumulative GHGs'!F19*'Lytton Rancheria'!$A$143</f>
        <v>3.4350321120589866</v>
      </c>
      <c r="O19" s="48">
        <f>G19*'Sonoma - SVCSD '!$A$151</f>
        <v>15.960994997161775</v>
      </c>
      <c r="P19" s="59">
        <f>H19*'Sonoma - RRCSD'!$A$148</f>
        <v>4.8676224819891205</v>
      </c>
      <c r="Q19" s="48">
        <f>I19*'Sonoma - ALWSZ'!$A$106</f>
        <v>14.550628547776727</v>
      </c>
      <c r="R19" s="48">
        <f>B19*'Windsor Inventory'!$F$272</f>
        <v>227.52985139574037</v>
      </c>
      <c r="S19" s="48">
        <f>C19*'Healdsburg Inventory'!$F$141</f>
        <v>103.52759418549607</v>
      </c>
      <c r="T19" s="48">
        <f>D19*'Cloverdale Inventory'!$F$139</f>
        <v>18.820072249663973</v>
      </c>
      <c r="U19" s="48">
        <f>E19*'City of Petaluma'!$F$176</f>
        <v>504.48196578394635</v>
      </c>
      <c r="V19" s="59">
        <f>F19*'Lytton Rancheria'!$F$152</f>
        <v>7.1330757181696871</v>
      </c>
      <c r="W19" s="48">
        <f>G19*'Sonoma - SVCSD '!$F$152</f>
        <v>155.10239063004778</v>
      </c>
      <c r="X19" s="48">
        <f>H19*'Sonoma - RRCSD'!$F$149</f>
        <v>24.582654943950654</v>
      </c>
      <c r="Y19" s="48">
        <f>I19*'Sonoma - ALWSZ'!$F$107</f>
        <v>46.526356049656044</v>
      </c>
      <c r="Z19" s="48">
        <f t="shared" si="4"/>
        <v>2573.9404206309828</v>
      </c>
      <c r="AA19" s="48">
        <f t="shared" si="7"/>
        <v>28065.629568342236</v>
      </c>
    </row>
    <row r="20" spans="1:27" x14ac:dyDescent="0.3">
      <c r="A20" s="47">
        <v>2042</v>
      </c>
      <c r="B20" s="48">
        <f t="shared" ref="B20:B22" si="17">((($B$23-$B$18)/($A$23-$A$18))*($A20-$A$18))+$B$18</f>
        <v>854.53800000000001</v>
      </c>
      <c r="C20" s="48">
        <f t="shared" ref="C20:I22" si="18">(((C$23-C$18)/($A$23-$A$18))*($A20-$A$18))+C$18</f>
        <v>361.35</v>
      </c>
      <c r="D20" s="60">
        <f t="shared" si="18"/>
        <v>76.649999999999991</v>
      </c>
      <c r="E20" s="60">
        <f t="shared" si="18"/>
        <v>1657.1</v>
      </c>
      <c r="F20" s="60">
        <f t="shared" si="18"/>
        <v>30.869999999999997</v>
      </c>
      <c r="G20" s="60">
        <f t="shared" si="18"/>
        <v>584</v>
      </c>
      <c r="H20" s="60">
        <f t="shared" si="18"/>
        <v>98.550000000000011</v>
      </c>
      <c r="I20" s="60">
        <f t="shared" si="18"/>
        <v>200.75000000000003</v>
      </c>
      <c r="J20" s="48">
        <f>B20*'Windsor Inventory'!$A$270</f>
        <v>3406.2877110985864</v>
      </c>
      <c r="K20" s="48">
        <f>C20*'Healdsburg Inventory'!$A$141</f>
        <v>77.801494000940167</v>
      </c>
      <c r="L20" s="60">
        <f>D20*'Cloverdale Inventory'!$A$138</f>
        <v>8.4062560106536104</v>
      </c>
      <c r="M20" s="48">
        <f>E20*'City of Petaluma'!$A$175</f>
        <v>180.01338112672974</v>
      </c>
      <c r="N20" s="59">
        <f>'Annual and Cumulative GHGs'!F20*'Lytton Rancheria'!$A$143</f>
        <v>3.4350321120589866</v>
      </c>
      <c r="O20" s="48">
        <f>G20*'Sonoma - SVCSD '!$A$151</f>
        <v>15.960994997161775</v>
      </c>
      <c r="P20" s="59">
        <f>H20*'Sonoma - RRCSD'!$A$148</f>
        <v>4.8676224819891205</v>
      </c>
      <c r="Q20" s="48">
        <f>I20*'Sonoma - ALWSZ'!$A$106</f>
        <v>14.550628547776727</v>
      </c>
      <c r="R20" s="48">
        <f>B20*'Windsor Inventory'!$F$272</f>
        <v>230.84281855074855</v>
      </c>
      <c r="S20" s="48">
        <f>C20*'Healdsburg Inventory'!$F$141</f>
        <v>103.52759418549607</v>
      </c>
      <c r="T20" s="48">
        <f>D20*'Cloverdale Inventory'!$F$139</f>
        <v>18.820072249663973</v>
      </c>
      <c r="U20" s="48">
        <f>E20*'City of Petaluma'!$F$176</f>
        <v>506.71418687148594</v>
      </c>
      <c r="V20" s="59">
        <f>F20*'Lytton Rancheria'!$F$152</f>
        <v>7.1330757181696871</v>
      </c>
      <c r="W20" s="48">
        <f>G20*'Sonoma - SVCSD '!$F$152</f>
        <v>155.10239063004778</v>
      </c>
      <c r="X20" s="48">
        <f>H20*'Sonoma - RRCSD'!$F$149</f>
        <v>24.582654943950654</v>
      </c>
      <c r="Y20" s="48">
        <f>I20*'Sonoma - ALWSZ'!$F$107</f>
        <v>46.526356049656044</v>
      </c>
      <c r="Z20" s="48">
        <f t="shared" si="4"/>
        <v>2618.0739711766782</v>
      </c>
      <c r="AA20" s="48">
        <f t="shared" si="7"/>
        <v>30683.703539518916</v>
      </c>
    </row>
    <row r="21" spans="1:27" x14ac:dyDescent="0.3">
      <c r="A21" s="47">
        <v>2043</v>
      </c>
      <c r="B21" s="48">
        <f t="shared" si="17"/>
        <v>866.80200000000002</v>
      </c>
      <c r="C21" s="48">
        <f t="shared" si="18"/>
        <v>361.35</v>
      </c>
      <c r="D21" s="60">
        <f t="shared" si="18"/>
        <v>76.649999999999991</v>
      </c>
      <c r="E21" s="60">
        <f t="shared" si="18"/>
        <v>1664.3999999999999</v>
      </c>
      <c r="F21" s="60">
        <f t="shared" si="18"/>
        <v>30.869999999999997</v>
      </c>
      <c r="G21" s="60">
        <f t="shared" si="18"/>
        <v>584</v>
      </c>
      <c r="H21" s="60">
        <f t="shared" si="18"/>
        <v>98.550000000000011</v>
      </c>
      <c r="I21" s="60">
        <f t="shared" si="18"/>
        <v>200.75000000000003</v>
      </c>
      <c r="J21" s="48">
        <f>B21*'Windsor Inventory'!$A$270</f>
        <v>3455.1734393972847</v>
      </c>
      <c r="K21" s="48">
        <f>C21*'Healdsburg Inventory'!$A$141</f>
        <v>77.801494000940167</v>
      </c>
      <c r="L21" s="60">
        <f>D21*'Cloverdale Inventory'!$A$138</f>
        <v>8.4062560106536104</v>
      </c>
      <c r="M21" s="48">
        <f>E21*'City of Petaluma'!$A$175</f>
        <v>180.80639161627479</v>
      </c>
      <c r="N21" s="59">
        <f>'Annual and Cumulative GHGs'!F21*'Lytton Rancheria'!$A$143</f>
        <v>3.4350321120589866</v>
      </c>
      <c r="O21" s="48">
        <f>G21*'Sonoma - SVCSD '!$A$151</f>
        <v>15.960994997161775</v>
      </c>
      <c r="P21" s="59">
        <f>H21*'Sonoma - RRCSD'!$A$148</f>
        <v>4.8676224819891205</v>
      </c>
      <c r="Q21" s="48">
        <f>I21*'Sonoma - ALWSZ'!$A$106</f>
        <v>14.550628547776727</v>
      </c>
      <c r="R21" s="48">
        <f>B21*'Windsor Inventory'!$F$272</f>
        <v>234.15578570575673</v>
      </c>
      <c r="S21" s="48">
        <f>C21*'Healdsburg Inventory'!$F$141</f>
        <v>103.52759418549607</v>
      </c>
      <c r="T21" s="48">
        <f>D21*'Cloverdale Inventory'!$F$139</f>
        <v>18.820072249663973</v>
      </c>
      <c r="U21" s="48">
        <f>E21*'City of Petaluma'!$F$176</f>
        <v>508.94640795902546</v>
      </c>
      <c r="V21" s="59">
        <f>F21*'Lytton Rancheria'!$F$152</f>
        <v>7.1330757181696871</v>
      </c>
      <c r="W21" s="48">
        <f>G21*'Sonoma - SVCSD '!$F$152</f>
        <v>155.10239063004778</v>
      </c>
      <c r="X21" s="48">
        <f>H21*'Sonoma - RRCSD'!$F$149</f>
        <v>24.582654943950654</v>
      </c>
      <c r="Y21" s="48">
        <f>I21*'Sonoma - ALWSZ'!$F$107</f>
        <v>46.526356049656044</v>
      </c>
      <c r="Z21" s="48">
        <f t="shared" si="4"/>
        <v>2662.2075217223737</v>
      </c>
      <c r="AA21" s="48">
        <f t="shared" si="7"/>
        <v>33345.911061241291</v>
      </c>
    </row>
    <row r="22" spans="1:27" x14ac:dyDescent="0.3">
      <c r="A22" s="47">
        <v>2044</v>
      </c>
      <c r="B22" s="48">
        <f t="shared" si="17"/>
        <v>879.06600000000003</v>
      </c>
      <c r="C22" s="48">
        <f t="shared" si="18"/>
        <v>361.35</v>
      </c>
      <c r="D22" s="60">
        <f t="shared" si="18"/>
        <v>76.649999999999991</v>
      </c>
      <c r="E22" s="60">
        <f t="shared" si="18"/>
        <v>1671.6999999999998</v>
      </c>
      <c r="F22" s="60">
        <f t="shared" si="18"/>
        <v>30.869999999999997</v>
      </c>
      <c r="G22" s="60">
        <f t="shared" si="18"/>
        <v>584</v>
      </c>
      <c r="H22" s="60">
        <f t="shared" si="18"/>
        <v>98.550000000000011</v>
      </c>
      <c r="I22" s="60">
        <f t="shared" si="18"/>
        <v>200.75000000000003</v>
      </c>
      <c r="J22" s="48">
        <f>B22*'Windsor Inventory'!$A$270</f>
        <v>3504.059167695983</v>
      </c>
      <c r="K22" s="48">
        <f>C22*'Healdsburg Inventory'!$A$141</f>
        <v>77.801494000940167</v>
      </c>
      <c r="L22" s="60">
        <f>D22*'Cloverdale Inventory'!$A$138</f>
        <v>8.4062560106536104</v>
      </c>
      <c r="M22" s="48">
        <f>E22*'City of Petaluma'!$A$175</f>
        <v>181.59940210581985</v>
      </c>
      <c r="N22" s="59">
        <f>'Annual and Cumulative GHGs'!F22*'Lytton Rancheria'!$A$143</f>
        <v>3.4350321120589866</v>
      </c>
      <c r="O22" s="48">
        <f>G22*'Sonoma - SVCSD '!$A$151</f>
        <v>15.960994997161775</v>
      </c>
      <c r="P22" s="59">
        <f>H22*'Sonoma - RRCSD'!$A$148</f>
        <v>4.8676224819891205</v>
      </c>
      <c r="Q22" s="48">
        <f>I22*'Sonoma - ALWSZ'!$A$106</f>
        <v>14.550628547776727</v>
      </c>
      <c r="R22" s="48">
        <f>B22*'Windsor Inventory'!$F$272</f>
        <v>237.46875286076491</v>
      </c>
      <c r="S22" s="48">
        <f>C22*'Healdsburg Inventory'!$F$141</f>
        <v>103.52759418549607</v>
      </c>
      <c r="T22" s="48">
        <f>D22*'Cloverdale Inventory'!$F$139</f>
        <v>18.820072249663973</v>
      </c>
      <c r="U22" s="48">
        <f>E22*'City of Petaluma'!$F$176</f>
        <v>511.17862904656505</v>
      </c>
      <c r="V22" s="59">
        <f>F22*'Lytton Rancheria'!$F$152</f>
        <v>7.1330757181696871</v>
      </c>
      <c r="W22" s="48">
        <f>G22*'Sonoma - SVCSD '!$F$152</f>
        <v>155.10239063004778</v>
      </c>
      <c r="X22" s="48">
        <f>H22*'Sonoma - RRCSD'!$F$149</f>
        <v>24.582654943950654</v>
      </c>
      <c r="Y22" s="48">
        <f>I22*'Sonoma - ALWSZ'!$F$107</f>
        <v>46.526356049656044</v>
      </c>
      <c r="Z22" s="48">
        <f t="shared" si="4"/>
        <v>2706.3410722680696</v>
      </c>
      <c r="AA22" s="48">
        <f t="shared" si="7"/>
        <v>36052.252133509362</v>
      </c>
    </row>
    <row r="23" spans="1:27" x14ac:dyDescent="0.3">
      <c r="A23" s="47">
        <v>2045</v>
      </c>
      <c r="B23" s="48">
        <f>'Windsor Inventory'!$B$42*365</f>
        <v>891.33</v>
      </c>
      <c r="C23" s="48">
        <f>'Healdsburg Inventory'!$B$41*365</f>
        <v>361.35</v>
      </c>
      <c r="D23" s="60">
        <f>'Cloverdale Inventory'!$B$41*365</f>
        <v>76.649999999999991</v>
      </c>
      <c r="E23" s="48">
        <f>365*'City of Petaluma'!$B$41</f>
        <v>1678.9999999999998</v>
      </c>
      <c r="F23" s="48">
        <f>365*'Lytton Rancheria'!$B$41</f>
        <v>30.869999999999997</v>
      </c>
      <c r="G23" s="48">
        <f>365*'Sonoma - SVCSD '!$B$41</f>
        <v>584</v>
      </c>
      <c r="H23" s="48">
        <f>365*'Sonoma - RRCSD'!$B$35</f>
        <v>98.550000000000011</v>
      </c>
      <c r="I23" s="48">
        <f>365*'Sonoma - ALWSZ'!$B$35</f>
        <v>200.75000000000003</v>
      </c>
      <c r="J23" s="48">
        <f>B23*'Windsor Inventory'!$A$270</f>
        <v>3552.9448959946812</v>
      </c>
      <c r="K23" s="48">
        <f>C23*'Healdsburg Inventory'!$A$141</f>
        <v>77.801494000940167</v>
      </c>
      <c r="L23" s="60">
        <f>D23*'Cloverdale Inventory'!$A$138</f>
        <v>8.4062560106536104</v>
      </c>
      <c r="M23" s="48">
        <f>E23*'City of Petaluma'!$A$175</f>
        <v>182.39241259536493</v>
      </c>
      <c r="N23" s="59">
        <f>'Annual and Cumulative GHGs'!F23*'Lytton Rancheria'!$A$143</f>
        <v>3.4350321120589866</v>
      </c>
      <c r="O23" s="48">
        <f>G23*'Sonoma - SVCSD '!$A$151</f>
        <v>15.960994997161775</v>
      </c>
      <c r="P23" s="59">
        <f>H23*'Sonoma - RRCSD'!$A$148</f>
        <v>4.8676224819891205</v>
      </c>
      <c r="Q23" s="48">
        <f>I23*'Sonoma - ALWSZ'!$A$106</f>
        <v>14.550628547776727</v>
      </c>
      <c r="R23" s="48">
        <f>B23*'Windsor Inventory'!$F$272</f>
        <v>240.78172001577309</v>
      </c>
      <c r="S23" s="48">
        <f>C23*'Healdsburg Inventory'!$F$141</f>
        <v>103.52759418549607</v>
      </c>
      <c r="T23" s="48">
        <f>D23*'Cloverdale Inventory'!$F$139</f>
        <v>18.820072249663973</v>
      </c>
      <c r="U23" s="48">
        <f>E23*'City of Petaluma'!$F$176</f>
        <v>513.41085013410463</v>
      </c>
      <c r="V23" s="59">
        <f>F23*'Lytton Rancheria'!$F$152</f>
        <v>7.1330757181696871</v>
      </c>
      <c r="W23" s="48">
        <f>G23*'Sonoma - SVCSD '!$F$152</f>
        <v>155.10239063004778</v>
      </c>
      <c r="X23" s="48">
        <f>H23*'Sonoma - RRCSD'!$F$149</f>
        <v>24.582654943950654</v>
      </c>
      <c r="Y23" s="48">
        <f>I23*'Sonoma - ALWSZ'!$F$107</f>
        <v>46.526356049656044</v>
      </c>
      <c r="Z23" s="48">
        <f t="shared" si="4"/>
        <v>2750.4746228137651</v>
      </c>
      <c r="AA23" s="48">
        <f t="shared" si="7"/>
        <v>38802.726756323129</v>
      </c>
    </row>
    <row r="24" spans="1:27" x14ac:dyDescent="0.3">
      <c r="A24" s="47">
        <v>2046</v>
      </c>
      <c r="B24" s="48">
        <f t="shared" ref="B24:I24" si="19">(((B$28-B$23)/($A$28-$A$23))*($A24-$A$23))+B$23</f>
        <v>903.59400000000005</v>
      </c>
      <c r="C24" s="48">
        <f t="shared" si="19"/>
        <v>361.35</v>
      </c>
      <c r="D24" s="60">
        <f t="shared" si="19"/>
        <v>76.649999999999991</v>
      </c>
      <c r="E24" s="60">
        <f t="shared" si="19"/>
        <v>1693.6</v>
      </c>
      <c r="F24" s="60">
        <f t="shared" si="19"/>
        <v>30.869999999999997</v>
      </c>
      <c r="G24" s="60">
        <f t="shared" si="19"/>
        <v>591.29999999999995</v>
      </c>
      <c r="H24" s="60">
        <f t="shared" si="19"/>
        <v>98.550000000000011</v>
      </c>
      <c r="I24" s="60">
        <f t="shared" si="19"/>
        <v>200.75000000000003</v>
      </c>
      <c r="J24" s="48">
        <f>B24*'Windsor Inventory'!$A$270</f>
        <v>3601.83062429338</v>
      </c>
      <c r="K24" s="48">
        <f>C24*'Healdsburg Inventory'!$A$141</f>
        <v>77.801494000940167</v>
      </c>
      <c r="L24" s="60">
        <f>D24*'Cloverdale Inventory'!$A$138</f>
        <v>8.4062560106536104</v>
      </c>
      <c r="M24" s="48">
        <f>E24*'City of Petaluma'!$A$175</f>
        <v>183.97843357445507</v>
      </c>
      <c r="N24" s="59">
        <f>'Annual and Cumulative GHGs'!F24*'Lytton Rancheria'!$A$143</f>
        <v>3.4350321120589866</v>
      </c>
      <c r="O24" s="48">
        <f>G24*'Sonoma - SVCSD '!$A$151</f>
        <v>16.160507434626297</v>
      </c>
      <c r="P24" s="59">
        <f>H24*'Sonoma - RRCSD'!$A$148</f>
        <v>4.8676224819891205</v>
      </c>
      <c r="Q24" s="48">
        <f>I24*'Sonoma - ALWSZ'!$A$106</f>
        <v>14.550628547776727</v>
      </c>
      <c r="R24" s="48">
        <f>B24*'Windsor Inventory'!$F$272</f>
        <v>244.0946871707813</v>
      </c>
      <c r="S24" s="48">
        <f>C24*'Healdsburg Inventory'!$F$141</f>
        <v>103.52759418549607</v>
      </c>
      <c r="T24" s="48">
        <f>D24*'Cloverdale Inventory'!$F$139</f>
        <v>18.820072249663973</v>
      </c>
      <c r="U24" s="48">
        <f>E24*'City of Petaluma'!$F$176</f>
        <v>517.87529230918381</v>
      </c>
      <c r="V24" s="59">
        <f>F24*'Lytton Rancheria'!$F$152</f>
        <v>7.1330757181696871</v>
      </c>
      <c r="W24" s="48">
        <f>G24*'Sonoma - SVCSD '!$F$152</f>
        <v>157.04117051292337</v>
      </c>
      <c r="X24" s="48">
        <f>H24*'Sonoma - RRCSD'!$F$149</f>
        <v>24.582654943950654</v>
      </c>
      <c r="Y24" s="48">
        <f>I24*'Sonoma - ALWSZ'!$F$107</f>
        <v>46.526356049656044</v>
      </c>
      <c r="Z24" s="48">
        <f t="shared" si="4"/>
        <v>2791.4296953160556</v>
      </c>
      <c r="AA24" s="48">
        <f t="shared" si="7"/>
        <v>41594.156451639181</v>
      </c>
    </row>
    <row r="25" spans="1:27" x14ac:dyDescent="0.3">
      <c r="A25" s="47">
        <v>2047</v>
      </c>
      <c r="B25" s="48">
        <f t="shared" ref="B25:B26" si="20">((($B$28-$B$23)/($A$28-$A$23))*($A25-$A$23))+$B$23</f>
        <v>915.85800000000006</v>
      </c>
      <c r="C25" s="48">
        <f t="shared" ref="C25:I27" si="21">(((C$28-C$23)/($A$28-$A$23))*($A25-$A$23))+C$23</f>
        <v>361.35</v>
      </c>
      <c r="D25" s="60">
        <f t="shared" si="21"/>
        <v>76.649999999999991</v>
      </c>
      <c r="E25" s="60">
        <f t="shared" si="21"/>
        <v>1708.1999999999998</v>
      </c>
      <c r="F25" s="60">
        <f t="shared" si="21"/>
        <v>30.869999999999997</v>
      </c>
      <c r="G25" s="60">
        <f t="shared" si="21"/>
        <v>598.6</v>
      </c>
      <c r="H25" s="60">
        <f t="shared" si="21"/>
        <v>98.550000000000011</v>
      </c>
      <c r="I25" s="60">
        <f t="shared" si="21"/>
        <v>200.75000000000003</v>
      </c>
      <c r="J25" s="48">
        <f>B25*'Windsor Inventory'!$A$270</f>
        <v>3650.7163525920782</v>
      </c>
      <c r="K25" s="48">
        <f>C25*'Healdsburg Inventory'!$A$141</f>
        <v>77.801494000940167</v>
      </c>
      <c r="L25" s="60">
        <f>D25*'Cloverdale Inventory'!$A$138</f>
        <v>8.4062560106536104</v>
      </c>
      <c r="M25" s="48">
        <f>E25*'City of Petaluma'!$A$175</f>
        <v>185.56445455354518</v>
      </c>
      <c r="N25" s="59">
        <f>'Annual and Cumulative GHGs'!F25*'Lytton Rancheria'!$A$143</f>
        <v>3.4350321120589866</v>
      </c>
      <c r="O25" s="48">
        <f>G25*'Sonoma - SVCSD '!$A$151</f>
        <v>16.36001987209082</v>
      </c>
      <c r="P25" s="59">
        <f>H25*'Sonoma - RRCSD'!$A$148</f>
        <v>4.8676224819891205</v>
      </c>
      <c r="Q25" s="48">
        <f>I25*'Sonoma - ALWSZ'!$A$106</f>
        <v>14.550628547776727</v>
      </c>
      <c r="R25" s="48">
        <f>B25*'Windsor Inventory'!$F$272</f>
        <v>247.40765432578948</v>
      </c>
      <c r="S25" s="48">
        <f>C25*'Healdsburg Inventory'!$F$141</f>
        <v>103.52759418549607</v>
      </c>
      <c r="T25" s="48">
        <f>D25*'Cloverdale Inventory'!$F$139</f>
        <v>18.820072249663973</v>
      </c>
      <c r="U25" s="48">
        <f>E25*'City of Petaluma'!$F$176</f>
        <v>522.33973448426298</v>
      </c>
      <c r="V25" s="59">
        <f>F25*'Lytton Rancheria'!$F$152</f>
        <v>7.1330757181696871</v>
      </c>
      <c r="W25" s="48">
        <f>G25*'Sonoma - SVCSD '!$F$152</f>
        <v>158.97995039579897</v>
      </c>
      <c r="X25" s="48">
        <f>H25*'Sonoma - RRCSD'!$F$149</f>
        <v>24.582654943950654</v>
      </c>
      <c r="Y25" s="48">
        <f>I25*'Sonoma - ALWSZ'!$F$107</f>
        <v>46.526356049656044</v>
      </c>
      <c r="Z25" s="48">
        <f t="shared" si="4"/>
        <v>2832.3847678183456</v>
      </c>
      <c r="AA25" s="48">
        <f t="shared" si="7"/>
        <v>44426.541219457526</v>
      </c>
    </row>
    <row r="26" spans="1:27" x14ac:dyDescent="0.3">
      <c r="A26" s="47">
        <v>2048</v>
      </c>
      <c r="B26" s="48">
        <f t="shared" si="20"/>
        <v>928.12200000000007</v>
      </c>
      <c r="C26" s="48">
        <f t="shared" si="21"/>
        <v>361.35</v>
      </c>
      <c r="D26" s="60">
        <f t="shared" si="21"/>
        <v>76.649999999999991</v>
      </c>
      <c r="E26" s="60">
        <f t="shared" si="21"/>
        <v>1722.8</v>
      </c>
      <c r="F26" s="60">
        <f t="shared" si="21"/>
        <v>30.869999999999997</v>
      </c>
      <c r="G26" s="60">
        <f t="shared" si="21"/>
        <v>605.9</v>
      </c>
      <c r="H26" s="60">
        <f t="shared" si="21"/>
        <v>98.550000000000011</v>
      </c>
      <c r="I26" s="60">
        <f t="shared" si="21"/>
        <v>200.75000000000003</v>
      </c>
      <c r="J26" s="48">
        <f>B26*'Windsor Inventory'!$A$270</f>
        <v>3699.6020808907765</v>
      </c>
      <c r="K26" s="48">
        <f>C26*'Healdsburg Inventory'!$A$141</f>
        <v>77.801494000940167</v>
      </c>
      <c r="L26" s="60">
        <f>D26*'Cloverdale Inventory'!$A$138</f>
        <v>8.4062560106536104</v>
      </c>
      <c r="M26" s="48">
        <f>E26*'City of Petaluma'!$A$175</f>
        <v>187.15047553263534</v>
      </c>
      <c r="N26" s="59">
        <f>'Annual and Cumulative GHGs'!F26*'Lytton Rancheria'!$A$143</f>
        <v>3.4350321120589866</v>
      </c>
      <c r="O26" s="48">
        <f>G26*'Sonoma - SVCSD '!$A$151</f>
        <v>16.55953230955534</v>
      </c>
      <c r="P26" s="59">
        <f>H26*'Sonoma - RRCSD'!$A$148</f>
        <v>4.8676224819891205</v>
      </c>
      <c r="Q26" s="48">
        <f>I26*'Sonoma - ALWSZ'!$A$106</f>
        <v>14.550628547776727</v>
      </c>
      <c r="R26" s="48">
        <f>B26*'Windsor Inventory'!$F$272</f>
        <v>250.72062148079766</v>
      </c>
      <c r="S26" s="48">
        <f>C26*'Healdsburg Inventory'!$F$141</f>
        <v>103.52759418549607</v>
      </c>
      <c r="T26" s="48">
        <f>D26*'Cloverdale Inventory'!$F$139</f>
        <v>18.820072249663973</v>
      </c>
      <c r="U26" s="48">
        <f>E26*'City of Petaluma'!$F$176</f>
        <v>526.80417665934215</v>
      </c>
      <c r="V26" s="59">
        <f>F26*'Lytton Rancheria'!$F$152</f>
        <v>7.1330757181696871</v>
      </c>
      <c r="W26" s="48">
        <f>G26*'Sonoma - SVCSD '!$F$152</f>
        <v>160.91873027867456</v>
      </c>
      <c r="X26" s="48">
        <f>H26*'Sonoma - RRCSD'!$F$149</f>
        <v>24.582654943950654</v>
      </c>
      <c r="Y26" s="48">
        <f>I26*'Sonoma - ALWSZ'!$F$107</f>
        <v>46.526356049656044</v>
      </c>
      <c r="Z26" s="48">
        <f t="shared" si="4"/>
        <v>2873.3398403206356</v>
      </c>
      <c r="AA26" s="48">
        <f t="shared" si="7"/>
        <v>47299.881059778163</v>
      </c>
    </row>
    <row r="27" spans="1:27" x14ac:dyDescent="0.3">
      <c r="A27" s="47">
        <v>2049</v>
      </c>
      <c r="B27" s="48">
        <f>((($B$28-$B$23)/($A$28-$A$23))*($A27-$A$23))+$B$23</f>
        <v>940.38600000000008</v>
      </c>
      <c r="C27" s="48">
        <f>(((C$28-C$23)/($A$28-$A$23))*($A27-$A$23))+C$23</f>
        <v>361.35</v>
      </c>
      <c r="D27" s="60">
        <f t="shared" si="21"/>
        <v>76.649999999999991</v>
      </c>
      <c r="E27" s="60">
        <f t="shared" si="21"/>
        <v>1737.3999999999999</v>
      </c>
      <c r="F27" s="60">
        <f>(((F$28-F$23)/($A$28-$A$23))*($A27-$A$23))+F$23</f>
        <v>30.869999999999997</v>
      </c>
      <c r="G27" s="60">
        <f t="shared" si="21"/>
        <v>613.20000000000005</v>
      </c>
      <c r="H27" s="60">
        <f t="shared" si="21"/>
        <v>98.550000000000011</v>
      </c>
      <c r="I27" s="60">
        <f t="shared" si="21"/>
        <v>200.75000000000003</v>
      </c>
      <c r="J27" s="48">
        <f>B27*'Windsor Inventory'!$A$270</f>
        <v>3748.4878091894748</v>
      </c>
      <c r="K27" s="48">
        <f>C27*'Healdsburg Inventory'!$A$141</f>
        <v>77.801494000940167</v>
      </c>
      <c r="L27" s="60">
        <f>D27*'Cloverdale Inventory'!$A$138</f>
        <v>8.4062560106536104</v>
      </c>
      <c r="M27" s="48">
        <f>E27*'City of Petaluma'!$A$175</f>
        <v>188.73649651172545</v>
      </c>
      <c r="N27" s="59">
        <f>'Annual and Cumulative GHGs'!F27*'Lytton Rancheria'!$A$143</f>
        <v>3.4350321120589866</v>
      </c>
      <c r="O27" s="48">
        <f>G27*'Sonoma - SVCSD '!$A$151</f>
        <v>16.759044747019864</v>
      </c>
      <c r="P27" s="59">
        <f>H27*'Sonoma - RRCSD'!$A$148</f>
        <v>4.8676224819891205</v>
      </c>
      <c r="Q27" s="48">
        <f>I27*'Sonoma - ALWSZ'!$A$106</f>
        <v>14.550628547776727</v>
      </c>
      <c r="R27" s="48">
        <f>B27*'Windsor Inventory'!$F$272</f>
        <v>254.03358863580584</v>
      </c>
      <c r="S27" s="48">
        <f>C27*'Healdsburg Inventory'!$F$141</f>
        <v>103.52759418549607</v>
      </c>
      <c r="T27" s="48">
        <f>D27*'Cloverdale Inventory'!$F$139</f>
        <v>18.820072249663973</v>
      </c>
      <c r="U27" s="48">
        <f>E27*'City of Petaluma'!$F$176</f>
        <v>531.26861883442132</v>
      </c>
      <c r="V27" s="59">
        <f>F27*'Lytton Rancheria'!$F$152</f>
        <v>7.1330757181696871</v>
      </c>
      <c r="W27" s="48">
        <f>G27*'Sonoma - SVCSD '!$F$152</f>
        <v>162.85751016155018</v>
      </c>
      <c r="X27" s="48">
        <f>H27*'Sonoma - RRCSD'!$F$149</f>
        <v>24.582654943950654</v>
      </c>
      <c r="Y27" s="48">
        <f>I27*'Sonoma - ALWSZ'!$F$107</f>
        <v>46.526356049656044</v>
      </c>
      <c r="Z27" s="48">
        <f t="shared" si="4"/>
        <v>2914.2949128229247</v>
      </c>
      <c r="AA27" s="48">
        <f t="shared" si="7"/>
        <v>50214.175972601086</v>
      </c>
    </row>
    <row r="28" spans="1:27" x14ac:dyDescent="0.3">
      <c r="A28" s="47">
        <v>2050</v>
      </c>
      <c r="B28" s="48">
        <f>'Windsor Inventory'!$B$43*365</f>
        <v>952.65000000000009</v>
      </c>
      <c r="C28" s="48">
        <f>'Healdsburg Inventory'!$B$42*365</f>
        <v>361.35</v>
      </c>
      <c r="D28" s="60">
        <f>'Cloverdale Inventory'!$B$42*365</f>
        <v>76.649999999999991</v>
      </c>
      <c r="E28" s="48">
        <f>365*'City of Petaluma'!$B$42</f>
        <v>1752</v>
      </c>
      <c r="F28" s="48">
        <f>365*'Lytton Rancheria'!$B$42</f>
        <v>30.869999999999997</v>
      </c>
      <c r="G28" s="48">
        <f>365*'Sonoma - SVCSD '!$B$42</f>
        <v>620.5</v>
      </c>
      <c r="H28" s="48">
        <f>365*'Sonoma - RRCSD'!$B$35</f>
        <v>98.550000000000011</v>
      </c>
      <c r="I28" s="48">
        <f>365*'Sonoma - ALWSZ'!$B$35</f>
        <v>200.75000000000003</v>
      </c>
      <c r="J28" s="48">
        <f>B28*'Windsor Inventory'!$A$270</f>
        <v>3797.373537488173</v>
      </c>
      <c r="K28" s="48">
        <f>C28*'Healdsburg Inventory'!$A$141</f>
        <v>77.801494000940167</v>
      </c>
      <c r="L28" s="60">
        <f>D28*'Cloverdale Inventory'!$A$138</f>
        <v>8.4062560106536104</v>
      </c>
      <c r="M28" s="48">
        <f>E28*'City of Petaluma'!$A$175</f>
        <v>190.32251749081559</v>
      </c>
      <c r="N28" s="59">
        <f>'Annual and Cumulative GHGs'!F28*'Lytton Rancheria'!$A$143</f>
        <v>3.4350321120589866</v>
      </c>
      <c r="O28" s="48">
        <f>G28*'Sonoma - SVCSD '!$A$151</f>
        <v>16.958557184484388</v>
      </c>
      <c r="P28" s="59">
        <f>H28*'Sonoma - RRCSD'!$A$148</f>
        <v>4.8676224819891205</v>
      </c>
      <c r="Q28" s="48">
        <f>I28*'Sonoma - ALWSZ'!$A$106</f>
        <v>14.550628547776727</v>
      </c>
      <c r="R28" s="48">
        <f>B28*'Windsor Inventory'!$F$272</f>
        <v>257.34655579081402</v>
      </c>
      <c r="S28" s="48">
        <f>C28*'Healdsburg Inventory'!$F$141</f>
        <v>103.52759418549607</v>
      </c>
      <c r="T28" s="48">
        <f>D28*'Cloverdale Inventory'!$F$139</f>
        <v>18.820072249663973</v>
      </c>
      <c r="U28" s="48">
        <f>E28*'City of Petaluma'!$F$176</f>
        <v>535.7330610095006</v>
      </c>
      <c r="V28" s="59">
        <f>F28*'Lytton Rancheria'!$F$152</f>
        <v>7.1330757181696871</v>
      </c>
      <c r="W28" s="48">
        <f>G28*'Sonoma - SVCSD '!$F$152</f>
        <v>164.79629004442577</v>
      </c>
      <c r="X28" s="48">
        <f>H28*'Sonoma - RRCSD'!$F$149</f>
        <v>24.582654943950654</v>
      </c>
      <c r="Y28" s="48">
        <f>I28*'Sonoma - ALWSZ'!$F$107</f>
        <v>46.526356049656044</v>
      </c>
      <c r="Z28" s="48">
        <f t="shared" si="4"/>
        <v>2955.2499853252148</v>
      </c>
      <c r="AA28" s="48">
        <f t="shared" si="7"/>
        <v>53169.425957926302</v>
      </c>
    </row>
  </sheetData>
  <mergeCells count="3">
    <mergeCell ref="B1:I1"/>
    <mergeCell ref="J1:Q1"/>
    <mergeCell ref="R1:Y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Job_x0020_No. xmlns="5e8f08ee-c940-4e9f-8f1c-433053dacb57">20043-013</Job_x0020_No.>
    <TaxCatchAll xmlns="5e8f08ee-c940-4e9f-8f1c-433053dacb57">
      <Value>13</Value>
    </TaxCatchAll>
    <la4a482e7a5c451c849f25095c650518 xmlns="5e8f08ee-c940-4e9f-8f1c-433053dacb57">
      <Terms xmlns="http://schemas.microsoft.com/office/infopath/2007/PartnerControls">
        <TermInfo xmlns="http://schemas.microsoft.com/office/infopath/2007/PartnerControls">
          <TermName xmlns="http://schemas.microsoft.com/office/infopath/2007/PartnerControls">Town of Windsor</TermName>
          <TermId xmlns="http://schemas.microsoft.com/office/infopath/2007/PartnerControls">41a21d2f-0114-4df6-a94c-5788f9a7595a</TermId>
        </TermInfo>
      </Terms>
    </la4a482e7a5c451c849f25095c650518>
    <SharedWithUsers xmlns="05d0b18a-f393-4bf4-97cb-c23dc2726bfe">
      <UserInfo>
        <DisplayName>Solomon, Marc</DisplayName>
        <AccountId>51</AccountId>
        <AccountType/>
      </UserInfo>
      <UserInfo>
        <DisplayName>Briggs, Allan</DisplayName>
        <AccountId>49</AccountId>
        <AccountType/>
      </UserInfo>
      <UserInfo>
        <DisplayName>Nguyen, Katelyn</DisplayName>
        <AccountId>37</AccountId>
        <AccountType/>
      </UserInfo>
      <UserInfo>
        <DisplayName>Hulette, Lisa</DisplayName>
        <AccountId>9</AccountId>
        <AccountType/>
      </UserInfo>
      <UserInfo>
        <DisplayName>Ishii, Stephanie</DisplayName>
        <AccountId>42</AccountId>
        <AccountType/>
      </UserInfo>
      <UserInfo>
        <DisplayName>Barua, Trapa</DisplayName>
        <AccountId>28</AccountId>
        <AccountType/>
      </UserInfo>
    </SharedWithUsers>
  </documentManagement>
</p:properties>
</file>

<file path=customXml/item2.xml><?xml version="1.0" encoding="utf-8"?>
<?mso-contentType ?>
<SharedContentType xmlns="Microsoft.SharePoint.Taxonomy.ContentTypeSync" SourceId="fa60db12-2b6a-4eb8-baad-584f0c7a05b3" ContentTypeId="0x0101" PreviousValue="false" LastSyncTimeStamp="2014-11-24T01:52:41.627Z"/>
</file>

<file path=customXml/item3.xml><?xml version="1.0" encoding="utf-8"?>
<ct:contentTypeSchema xmlns:ct="http://schemas.microsoft.com/office/2006/metadata/contentType" xmlns:ma="http://schemas.microsoft.com/office/2006/metadata/properties/metaAttributes" ct:_="" ma:_="" ma:contentTypeName="Document" ma:contentTypeID="0x0101009D82FE54C5A8EC4985E40AB4884CA48C" ma:contentTypeVersion="4" ma:contentTypeDescription="Create a new document." ma:contentTypeScope="" ma:versionID="3e1f3686982ceff29e16e51cccc28f9a">
  <xsd:schema xmlns:xsd="http://www.w3.org/2001/XMLSchema" xmlns:xs="http://www.w3.org/2001/XMLSchema" xmlns:p="http://schemas.microsoft.com/office/2006/metadata/properties" xmlns:ns2="5e8f08ee-c940-4e9f-8f1c-433053dacb57" xmlns:ns3="C557833D-3720-4B80-A801-E7558111EAFE" xmlns:ns4="c557833d-3720-4b80-a801-e7558111eafe" xmlns:ns5="05d0b18a-f393-4bf4-97cb-c23dc2726bfe" targetNamespace="http://schemas.microsoft.com/office/2006/metadata/properties" ma:root="true" ma:fieldsID="220dfe0e3b82ffbc1c4665e0869e5957" ns2:_="" ns3:_="" ns4:_="" ns5:_="">
    <xsd:import namespace="5e8f08ee-c940-4e9f-8f1c-433053dacb57"/>
    <xsd:import namespace="C557833D-3720-4B80-A801-E7558111EAFE"/>
    <xsd:import namespace="c557833d-3720-4b80-a801-e7558111eafe"/>
    <xsd:import namespace="05d0b18a-f393-4bf4-97cb-c23dc2726bfe"/>
    <xsd:element name="properties">
      <xsd:complexType>
        <xsd:sequence>
          <xsd:element name="documentManagement">
            <xsd:complexType>
              <xsd:all>
                <xsd:element ref="ns2:TaxCatchAll" minOccurs="0"/>
                <xsd:element ref="ns3:MediaServiceMetadata" minOccurs="0"/>
                <xsd:element ref="ns3:MediaServiceFastMetadata" minOccurs="0"/>
                <xsd:element ref="ns2:la4a482e7a5c451c849f25095c650518" minOccurs="0"/>
                <xsd:element ref="ns2:Job_x0020_No." minOccurs="0"/>
                <xsd:element ref="ns4:MediaServiceSearchProperties" minOccurs="0"/>
                <xsd:element ref="ns4:MediaServiceObjectDetectorVersions"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8f08ee-c940-4e9f-8f1c-433053dacb5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2842A311-1C1F-4CFE-95AF-F8D7CAB44B10}" ma:internalName="TaxCatchAll" ma:showField="CatchAllData" ma:web="{05d0b18a-f393-4bf4-97cb-c23dc2726bfe}">
      <xsd:complexType>
        <xsd:complexContent>
          <xsd:extension base="dms:MultiChoiceLookup">
            <xsd:sequence>
              <xsd:element name="Value" type="dms:Lookup" maxOccurs="unbounded" minOccurs="0" nillable="true"/>
            </xsd:sequence>
          </xsd:extension>
        </xsd:complexContent>
      </xsd:complexType>
    </xsd:element>
    <xsd:element name="la4a482e7a5c451c849f25095c650518" ma:index="12" nillable="true" ma:taxonomy="true" ma:internalName="la4a482e7a5c451c849f25095c650518" ma:taxonomyFieldName="Client_x002e_" ma:displayName="Client." ma:default="-1;#Town of Windsor|41a21d2f-0114-4df6-a94c-5788f9a7595a" ma:fieldId="{5a4a482e-7a5c-451c-849f-25095c650518}" ma:sspId="fa60db12-2b6a-4eb8-baad-584f0c7a05b3" ma:termSetId="b64de878-faa0-463e-ab6c-ed4f19ee4a8c" ma:anchorId="00000000-0000-0000-0000-000000000000" ma:open="false" ma:isKeyword="false">
      <xsd:complexType>
        <xsd:sequence>
          <xsd:element ref="pc:Terms" minOccurs="0" maxOccurs="1"/>
        </xsd:sequence>
      </xsd:complexType>
    </xsd:element>
    <xsd:element name="Job_x0020_No." ma:index="13" nillable="true" ma:displayName="JobNumber" ma:default="20043-013" ma:internalName="Job_x0020_No_x002e_"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57833D-3720-4B80-A801-E7558111EAFE"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57833d-3720-4b80-a801-e7558111eafe" elementFormDefault="qualified">
    <xsd:import namespace="http://schemas.microsoft.com/office/2006/documentManagement/types"/>
    <xsd:import namespace="http://schemas.microsoft.com/office/infopath/2007/PartnerControls"/>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d0b18a-f393-4bf4-97cb-c23dc2726bf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91003E-EB92-48A1-BF59-6B5777C36D42}">
  <ds:schemaRefs>
    <ds:schemaRef ds:uri="http://purl.org/dc/terms/"/>
    <ds:schemaRef ds:uri="c557833d-3720-4b80-a801-e7558111eafe"/>
    <ds:schemaRef ds:uri="http://purl.org/dc/elements/1.1/"/>
    <ds:schemaRef ds:uri="05d0b18a-f393-4bf4-97cb-c23dc2726bfe"/>
    <ds:schemaRef ds:uri="http://www.w3.org/XML/1998/namespace"/>
    <ds:schemaRef ds:uri="5e8f08ee-c940-4e9f-8f1c-433053dacb57"/>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C557833D-3720-4B80-A801-E7558111EAFE"/>
  </ds:schemaRefs>
</ds:datastoreItem>
</file>

<file path=customXml/itemProps2.xml><?xml version="1.0" encoding="utf-8"?>
<ds:datastoreItem xmlns:ds="http://schemas.openxmlformats.org/officeDocument/2006/customXml" ds:itemID="{444F0238-3446-4A8A-AA71-B6A88E026620}">
  <ds:schemaRefs>
    <ds:schemaRef ds:uri="Microsoft.SharePoint.Taxonomy.ContentTypeSync"/>
  </ds:schemaRefs>
</ds:datastoreItem>
</file>

<file path=customXml/itemProps3.xml><?xml version="1.0" encoding="utf-8"?>
<ds:datastoreItem xmlns:ds="http://schemas.openxmlformats.org/officeDocument/2006/customXml" ds:itemID="{2A26FFE0-2C37-451A-8F8D-51F92D9B4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8f08ee-c940-4e9f-8f1c-433053dacb57"/>
    <ds:schemaRef ds:uri="C557833D-3720-4B80-A801-E7558111EAFE"/>
    <ds:schemaRef ds:uri="c557833d-3720-4b80-a801-e7558111eafe"/>
    <ds:schemaRef ds:uri="05d0b18a-f393-4bf4-97cb-c23dc2726b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7FE5A29-0CA6-479C-9848-B1D83DDBAA5E}">
  <ds:schemaRefs>
    <ds:schemaRef ds:uri="http://schemas.microsoft.com/sharepoint/v3/contenttype/forms"/>
  </ds:schemaRefs>
</ds:datastoreItem>
</file>

<file path=docMetadata/LabelInfo.xml><?xml version="1.0" encoding="utf-8"?>
<clbl:labelList xmlns:clbl="http://schemas.microsoft.com/office/2020/mipLabelMetadata">
  <clbl:label id="{083fc4d2-72ad-412b-ae7d-6b81b83916dd}" enabled="0" method="" siteId="{083fc4d2-72ad-412b-ae7d-6b81b83916d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Windsor Inventory</vt:lpstr>
      <vt:lpstr>Healdsburg Inventory</vt:lpstr>
      <vt:lpstr>Cloverdale Inventory</vt:lpstr>
      <vt:lpstr>City of Petaluma</vt:lpstr>
      <vt:lpstr>Lytton Rancheria</vt:lpstr>
      <vt:lpstr>Sonoma - SVCSD </vt:lpstr>
      <vt:lpstr>Sonoma - RRCSD</vt:lpstr>
      <vt:lpstr>Sonoma - ALWSZ</vt:lpstr>
      <vt:lpstr>Annual and Cumulative GHGs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Ishii, Stephanie</dc:creator>
  <cp:keywords/>
  <dc:description/>
  <cp:lastModifiedBy>Nguyen, Katelyn</cp:lastModifiedBy>
  <cp:revision/>
  <dcterms:created xsi:type="dcterms:W3CDTF">2024-03-31T20:05:51Z</dcterms:created>
  <dcterms:modified xsi:type="dcterms:W3CDTF">2024-04-01T17:50:57Z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0x0101009D82FE54C5A8EC4985E40AB4884CA48C</vt:lpwstr>
  </property>
  <property fmtid="{D5CDD505-2E9C-101B-9397-08002B2CF9AE}" pid="3" name="Client.">
    <vt:lpwstr>13;#Town of Windsor|41a21d2f-0114-4df6-a94c-5788f9a7595a</vt:lpwstr>
  </property>
</Properties>
</file>