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icfonline-my.sharepoint.com/personal/62399_icf_com/Documents/Desktop/"/>
    </mc:Choice>
  </mc:AlternateContent>
  <xr:revisionPtr revIDLastSave="2" documentId="8_{A618535F-484C-4CA2-8B2D-DA7044DECB07}" xr6:coauthVersionLast="47" xr6:coauthVersionMax="47" xr10:uidLastSave="{4CAB24B7-8C27-4240-9455-5FB1C10727DC}"/>
  <bookViews>
    <workbookView xWindow="1170" yWindow="1170" windowWidth="23205" windowHeight="14925" tabRatio="751" xr2:uid="{D1E320B0-3625-442B-9FF1-58D20B034740}"/>
  </bookViews>
  <sheets>
    <sheet name="GHGcalcs_VADEQ" sheetId="1"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7" i="1"/>
  <c r="F111" i="1"/>
  <c r="F110" i="1"/>
  <c r="F108" i="1"/>
  <c r="F107" i="1"/>
  <c r="F105" i="1"/>
  <c r="F104" i="1"/>
  <c r="F102" i="1"/>
  <c r="E101" i="1"/>
  <c r="C87" i="1"/>
  <c r="C88" i="1" s="1"/>
  <c r="C89" i="1" s="1"/>
  <c r="C90" i="1" s="1"/>
  <c r="C91" i="1" s="1"/>
  <c r="C64" i="1"/>
  <c r="G8" i="1"/>
  <c r="G6" i="1"/>
  <c r="G7" i="1"/>
  <c r="H7" i="1" s="1"/>
  <c r="D50" i="1"/>
  <c r="M50" i="1"/>
  <c r="E50" i="1"/>
  <c r="F50" i="1"/>
  <c r="G50" i="1"/>
  <c r="H50" i="1"/>
  <c r="I50" i="1"/>
  <c r="J50" i="1"/>
  <c r="K50" i="1"/>
  <c r="L50" i="1"/>
  <c r="C49" i="1"/>
  <c r="D49" i="1" s="1"/>
  <c r="E49" i="1" s="1"/>
  <c r="F49" i="1" s="1"/>
  <c r="G49" i="1" s="1"/>
  <c r="H49" i="1" s="1"/>
  <c r="I49" i="1" s="1"/>
  <c r="J49" i="1" s="1"/>
  <c r="K49" i="1" s="1"/>
  <c r="L49" i="1" s="1"/>
  <c r="E108" i="1" l="1"/>
  <c r="E104" i="1"/>
  <c r="E110" i="1"/>
  <c r="E111" i="1"/>
  <c r="F101" i="1"/>
  <c r="D96" i="1" s="1"/>
  <c r="E105" i="1"/>
  <c r="E107" i="1"/>
  <c r="E102" i="1"/>
  <c r="C96" i="1" s="1"/>
  <c r="M49" i="1"/>
  <c r="M51" i="1" s="1"/>
  <c r="D61" i="1" l="1"/>
  <c r="D63" i="1" s="1"/>
  <c r="C61" i="1"/>
  <c r="C63" i="1" s="1"/>
  <c r="C65" i="1" s="1"/>
  <c r="C66" i="1" s="1"/>
  <c r="C67" i="1" s="1"/>
  <c r="C69" i="1" l="1"/>
  <c r="C70" i="1"/>
  <c r="E63" i="1"/>
  <c r="D64" i="1"/>
  <c r="C73" i="1" l="1"/>
  <c r="C72" i="1"/>
  <c r="D65" i="1"/>
  <c r="D66" i="1" s="1"/>
  <c r="D67" i="1" s="1"/>
  <c r="C76" i="1" l="1"/>
  <c r="C78" i="1" s="1"/>
  <c r="C75" i="1"/>
  <c r="D70" i="1"/>
  <c r="D69" i="1"/>
  <c r="E69" i="1" s="1"/>
  <c r="D73" i="1" l="1"/>
  <c r="D72" i="1"/>
  <c r="E72" i="1" s="1"/>
  <c r="D76" i="1" l="1"/>
  <c r="D78" i="1" s="1"/>
  <c r="E78" i="1" s="1"/>
  <c r="D75" i="1"/>
  <c r="E75" i="1" s="1"/>
  <c r="G5" i="1" l="1"/>
  <c r="F4" i="1" l="1"/>
  <c r="C40" i="1"/>
  <c r="C122" i="1"/>
  <c r="C92" i="1" s="1"/>
  <c r="C18" i="1"/>
  <c r="D8" i="1" l="1"/>
  <c r="E8" i="1"/>
  <c r="C50" i="1"/>
  <c r="C51" i="1" s="1"/>
  <c r="C41" i="1"/>
  <c r="J27" i="1"/>
  <c r="K27" i="1"/>
  <c r="C27" i="1"/>
  <c r="H27" i="1"/>
  <c r="I27" i="1"/>
  <c r="D27" i="1"/>
  <c r="L27" i="1"/>
  <c r="E27" i="1"/>
  <c r="F27" i="1"/>
  <c r="G27" i="1"/>
  <c r="C26" i="1"/>
  <c r="C28" i="1" l="1"/>
  <c r="D26" i="1"/>
  <c r="E26" i="1" l="1"/>
  <c r="D28" i="1"/>
  <c r="F9" i="1"/>
  <c r="G4" i="1"/>
  <c r="G9" i="1" s="1"/>
  <c r="F26" i="1" l="1"/>
  <c r="E28" i="1"/>
  <c r="H9" i="1"/>
  <c r="G26" i="1" l="1"/>
  <c r="F28" i="1"/>
  <c r="H5" i="1"/>
  <c r="H6" i="1"/>
  <c r="H8" i="1"/>
  <c r="I8" i="1" s="1"/>
  <c r="H4" i="1"/>
  <c r="D51" i="1" l="1"/>
  <c r="H26" i="1"/>
  <c r="G28" i="1"/>
  <c r="I6" i="1"/>
  <c r="K6" i="1" s="1"/>
  <c r="J6" i="1"/>
  <c r="K8" i="1"/>
  <c r="E51" i="1" l="1"/>
  <c r="I26" i="1"/>
  <c r="H28" i="1"/>
  <c r="D5" i="1" s="1"/>
  <c r="F51" i="1" l="1"/>
  <c r="I5" i="1"/>
  <c r="J26" i="1"/>
  <c r="I28" i="1"/>
  <c r="G51" i="1" l="1"/>
  <c r="K5" i="1"/>
  <c r="K26" i="1"/>
  <c r="J28" i="1"/>
  <c r="H51" i="1" l="1"/>
  <c r="D7" i="1" s="1"/>
  <c r="L26" i="1"/>
  <c r="L28" i="1" s="1"/>
  <c r="K28" i="1"/>
  <c r="I7" i="1" l="1"/>
  <c r="D4" i="1"/>
  <c r="D9" i="1" s="1"/>
  <c r="I51" i="1"/>
  <c r="E5" i="1"/>
  <c r="K7" i="1" l="1"/>
  <c r="I4" i="1"/>
  <c r="J5" i="1"/>
  <c r="J51" i="1"/>
  <c r="I9" i="1" l="1"/>
  <c r="K9" i="1" s="1"/>
  <c r="K4" i="1"/>
  <c r="K51" i="1"/>
  <c r="L51" i="1"/>
  <c r="E7" i="1" s="1"/>
  <c r="J4" i="1" l="1"/>
  <c r="E4" i="1"/>
  <c r="E9" i="1" s="1"/>
  <c r="J9" i="1" l="1"/>
</calcChain>
</file>

<file path=xl/sharedStrings.xml><?xml version="1.0" encoding="utf-8"?>
<sst xmlns="http://schemas.openxmlformats.org/spreadsheetml/2006/main" count="149" uniqueCount="122">
  <si>
    <t>GHG emission reductions (mtco2e) 2025-2030</t>
  </si>
  <si>
    <t>GHG emission reductions (mtco2e) 2025-2050</t>
  </si>
  <si>
    <t>CPRG Funding</t>
  </si>
  <si>
    <t>Total Cost</t>
  </si>
  <si>
    <t>CPRG Cost/Total Project Cost Ratio</t>
  </si>
  <si>
    <t>CPRG GHG emission reductions (mtco2e) 2025-2030</t>
  </si>
  <si>
    <t>CPRG GHG emission reductions (mtco2e) 2025-2050</t>
  </si>
  <si>
    <t>CPRG Cost -Effectiveness</t>
  </si>
  <si>
    <t>Measure 1</t>
  </si>
  <si>
    <t>Project 1</t>
  </si>
  <si>
    <t>VDOT</t>
  </si>
  <si>
    <t>Project 2</t>
  </si>
  <si>
    <t>DRPT</t>
  </si>
  <si>
    <t>Project 3</t>
  </si>
  <si>
    <t>VA Energy</t>
  </si>
  <si>
    <t>Measure 2/Project 4</t>
  </si>
  <si>
    <t>Ports</t>
  </si>
  <si>
    <t>Total Application</t>
  </si>
  <si>
    <t>Project 1 - VDOT Fleet Electrification</t>
  </si>
  <si>
    <t>Assumptions and Data</t>
  </si>
  <si>
    <t>Truck average VMT/year</t>
  </si>
  <si>
    <t>miles</t>
  </si>
  <si>
    <t>CalAmp</t>
  </si>
  <si>
    <t>Number of trucks to transition to electric</t>
  </si>
  <si>
    <t>Lifetime of electric truck</t>
  </si>
  <si>
    <t>years</t>
  </si>
  <si>
    <t>assumed</t>
  </si>
  <si>
    <t>Year of electric truck procurement</t>
  </si>
  <si>
    <t>Ford F-150 Lightening (Electric Truck) Milage</t>
  </si>
  <si>
    <t>kwh/miles</t>
  </si>
  <si>
    <t>Industry sourced/researched</t>
  </si>
  <si>
    <t>Gasoline truck emission rate</t>
  </si>
  <si>
    <t>grams CO2e/mile</t>
  </si>
  <si>
    <t>GREET GHG emissions from pick up truck using AR5 GWPs</t>
  </si>
  <si>
    <t>Virginia Avg Annual Electricity Emission Rate</t>
  </si>
  <si>
    <t>mtCO2e/MWh (AEO 2023 Reference Case + eGRID 2021 non-CO2 with AR5 for SRVC)</t>
  </si>
  <si>
    <t>Calculations (assuming 10 yr EV lifetime)</t>
  </si>
  <si>
    <t>Reference (gasoline trucks) GHG emissions (mtCO2e/yr)</t>
  </si>
  <si>
    <t>CPRG Scenario (electric trucks) GHG emissions (mtCO2e/yr)</t>
  </si>
  <si>
    <t>Annnual GHG reductions (mtCO2e/yr)</t>
  </si>
  <si>
    <t>Project 2 - DRPT Fleet Electrification</t>
  </si>
  <si>
    <t>GHGs quantified using EPA MOVES4</t>
  </si>
  <si>
    <t>Project 3 - EV Rebate Program</t>
  </si>
  <si>
    <t>Car average VMT/year</t>
  </si>
  <si>
    <t>AFLEET model</t>
  </si>
  <si>
    <t>Electric Car Milage</t>
  </si>
  <si>
    <t>Number EV rebates with CPRG funds</t>
  </si>
  <si>
    <t>Lifetime of EV</t>
  </si>
  <si>
    <t>Assumed number of rebates in 2025</t>
  </si>
  <si>
    <t>Assumed number of rebates in 2026</t>
  </si>
  <si>
    <t>Gasoline car emission rate</t>
  </si>
  <si>
    <t>lbs CO2e/mile</t>
  </si>
  <si>
    <t>GREET GHG emissions for passenger vehicle using AR5 GWPs</t>
  </si>
  <si>
    <t>Cost of an EV</t>
  </si>
  <si>
    <t>Assumed based on mix of new and used EV prices</t>
  </si>
  <si>
    <t>Reference (gasoline cars) GHG emissions (mtCO2e/yr)</t>
  </si>
  <si>
    <t>2035 note: Assumes half of the EV purchased with CPRG funded rebates are in use in 2035 (rebates from 2026 assuming 10 yr lifetime) and the other half of EV purchased with CPRG rebates from 2025 are replaced with EVs in 2035, hence the baseline emissions are reduced</t>
  </si>
  <si>
    <t>CPRG Scenario (electric cars) GHG emissions (mtCO2e/yr)</t>
  </si>
  <si>
    <t>2025 and 2026 notes: Assumes half of the avaialble rebates are used to purchase EVs in the beginning of the second half of 2025, reuslting in reductions coming into play in just the second half of the year. Assumes 2026 rebates are used in the beginnig of 2026</t>
  </si>
  <si>
    <t xml:space="preserve">Measure 2/Project 4 - Reduce emissions from Port operations </t>
  </si>
  <si>
    <t>Activity a - Battery Storage</t>
  </si>
  <si>
    <t>VIG</t>
  </si>
  <si>
    <t>PPCY</t>
  </si>
  <si>
    <t>Total</t>
  </si>
  <si>
    <t>Battery System Size (MW)</t>
  </si>
  <si>
    <t>Daily assumed hours shaved</t>
  </si>
  <si>
    <t>Daily Peak Shaving Frequency (hours)</t>
  </si>
  <si>
    <t>Daily MWh avoided</t>
  </si>
  <si>
    <t>Terminal Operations Calendar (days)</t>
  </si>
  <si>
    <t>Annual Avoided Generation (MWh)</t>
  </si>
  <si>
    <t>SRVC Peak (Non-Baseload) CO2e Emission Rate (lbs/MWh) from eGRID 2022</t>
  </si>
  <si>
    <t>CO2 Emissions Avoided (lbs)</t>
  </si>
  <si>
    <t>Annual SRVC CO2e Emissions Avoided (metric tons)</t>
  </si>
  <si>
    <t>Assumed 20% discount in GHG emissions avoided as calculated using 2022 emission rate for 2025 to 2030 due to grid cleaning (Dominion net zero 2040 policy target from VCEA)</t>
  </si>
  <si>
    <t>Years of Avoided Emissions 2026-2030</t>
  </si>
  <si>
    <t>Avoided Emissions 2026-2030</t>
  </si>
  <si>
    <t>Assumed further 40% discount in GHG emissions avoided 2030 to 2040 due to grid cleaning</t>
  </si>
  <si>
    <t>Years of Avoided Emissions 2030-2040</t>
  </si>
  <si>
    <t>Avoided Emissions 2030-2040</t>
  </si>
  <si>
    <t>Assumed further 50% discount in GHG emissions avoided 2040 to 2045 due to grid cleaning</t>
  </si>
  <si>
    <t>Years of Avoided Emissions 2040-2045</t>
  </si>
  <si>
    <t>Avoided Emissions 2040-2045</t>
  </si>
  <si>
    <t>Assumed further 70% discount in GHG emissions avoided 2045 to 2050 due to grid cleaning</t>
  </si>
  <si>
    <t>Years of Avoided Emissions 2045-2050</t>
  </si>
  <si>
    <t>Avoided Emissions 2045-2050</t>
  </si>
  <si>
    <t>Activity b - Terminal Reservation System Repower</t>
  </si>
  <si>
    <t>Avg Annual Transactions (truck count)</t>
  </si>
  <si>
    <t>Avg Turn Time (min)</t>
  </si>
  <si>
    <t>Est max reduction (percentage)</t>
  </si>
  <si>
    <t>Est min reduction (percentage)</t>
  </si>
  <si>
    <t>Idle Emission Factor (g CO2e/hour)</t>
  </si>
  <si>
    <t>developed using EPA GHG emission factor hub data</t>
  </si>
  <si>
    <t>Assumed Reduction (percentage)</t>
  </si>
  <si>
    <t>Est Turn Time w/assued reduction</t>
  </si>
  <si>
    <t>Idle minutes reduced</t>
  </si>
  <si>
    <t>Annual idle min reduction</t>
  </si>
  <si>
    <t>Annual idle hours reduced</t>
  </si>
  <si>
    <t>Annual idle emissions reduced (g CO2e)</t>
  </si>
  <si>
    <t>g CO2e:MT CO2e</t>
  </si>
  <si>
    <t>Activity c - Vehicle and equipment electrification</t>
  </si>
  <si>
    <t>GHG Reductions (mtCO2) 2025-2030</t>
  </si>
  <si>
    <t>GHG Reductions (mtCO2) 2025-2050</t>
  </si>
  <si>
    <t>All equipment</t>
  </si>
  <si>
    <t>GHGs quantified using EPA Diesel Emission Reduction Quantifier</t>
  </si>
  <si>
    <t>Mobile Harbor Cranes</t>
  </si>
  <si>
    <t>Annual reductions (mt)</t>
  </si>
  <si>
    <t>Start Year</t>
  </si>
  <si>
    <t>Notes</t>
  </si>
  <si>
    <t>CO2</t>
  </si>
  <si>
    <t>Assumes equipment life of 15 years</t>
  </si>
  <si>
    <t>N2O</t>
  </si>
  <si>
    <t>Shuttle Pilots</t>
  </si>
  <si>
    <t>Miantenance Vans</t>
  </si>
  <si>
    <t>Forklifts</t>
  </si>
  <si>
    <t>UTRs</t>
  </si>
  <si>
    <t>2027-2030 CO2e Reduction (MT)</t>
  </si>
  <si>
    <t>Lifetime CO2e Reduction (MT)(2027-2039)</t>
  </si>
  <si>
    <t>Empty Container Handlers</t>
  </si>
  <si>
    <t>Conversions</t>
  </si>
  <si>
    <t>pounds to metric tons</t>
  </si>
  <si>
    <t>grams to metric tons</t>
  </si>
  <si>
    <t>GHG Calculations for the Virginia Department of Environmental Quality CPRG Implementation Grant entitled: "Comprehensive Decarbonization of Virginia’s Transportation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</si>
</sst>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8" x14ac:knownFonts="1">
    <font>
      <sz val="11"/>
      <color theme="1"/>
      <name val="Aptos Narrow"/>
      <family val="2"/>
      <scheme val="minor"/>
    </font>
    <font>
      <sz val="11"/>
      <color theme="1"/>
      <name val="Aptos Narrow"/>
      <family val="2"/>
      <scheme val="minor"/>
    </font>
    <font>
      <sz val="11"/>
      <color theme="1"/>
      <name val="Calibri"/>
      <family val="2"/>
    </font>
    <font>
      <b/>
      <sz val="11"/>
      <color theme="1"/>
      <name val="Calibri"/>
      <family val="2"/>
    </font>
    <font>
      <b/>
      <sz val="12"/>
      <color theme="1"/>
      <name val="Calibri"/>
      <family val="2"/>
    </font>
    <font>
      <i/>
      <sz val="11"/>
      <color theme="1"/>
      <name val="Calibri"/>
      <family val="2"/>
    </font>
    <font>
      <b/>
      <i/>
      <sz val="11"/>
      <color theme="1"/>
      <name val="Calibri"/>
      <family val="2"/>
    </font>
    <font>
      <sz val="11"/>
      <color rgb="FF000000"/>
      <name val="Calibri"/>
      <family val="2"/>
    </font>
  </fonts>
  <fills count="4">
    <fill>
      <patternFill patternType="none"/>
    </fill>
    <fill>
      <patternFill patternType="gray125"/>
    </fill>
    <fill>
      <patternFill patternType="solid">
        <fgColor theme="3" tint="0.89999084444715716"/>
        <bgColor indexed="64"/>
      </patternFill>
    </fill>
    <fill>
      <patternFill patternType="solid">
        <fgColor theme="2"/>
        <bgColor indexed="64"/>
      </patternFill>
    </fill>
  </fills>
  <borders count="2">
    <border>
      <left/>
      <right/>
      <top/>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2">
    <xf numFmtId="0" fontId="0" fillId="0" borderId="0" xfId="0"/>
    <xf numFmtId="0" fontId="2" fillId="0" borderId="0" xfId="0" applyFont="1"/>
    <xf numFmtId="164" fontId="2" fillId="0" borderId="0" xfId="2" applyNumberFormat="1" applyFont="1"/>
    <xf numFmtId="2" fontId="2" fillId="0" borderId="0" xfId="0" applyNumberFormat="1" applyFont="1"/>
    <xf numFmtId="0" fontId="3" fillId="0" borderId="0" xfId="0" applyFont="1"/>
    <xf numFmtId="0" fontId="2" fillId="0" borderId="0" xfId="0" applyFont="1" applyAlignment="1">
      <alignment wrapText="1"/>
    </xf>
    <xf numFmtId="44" fontId="2" fillId="0" borderId="0" xfId="2" applyFont="1"/>
    <xf numFmtId="0" fontId="4" fillId="2" borderId="0" xfId="0" applyFont="1" applyFill="1"/>
    <xf numFmtId="43" fontId="2" fillId="0" borderId="0" xfId="1" applyFont="1"/>
    <xf numFmtId="164" fontId="3" fillId="0" borderId="0" xfId="2" applyNumberFormat="1" applyFont="1"/>
    <xf numFmtId="43" fontId="3" fillId="0" borderId="0" xfId="1" applyFont="1"/>
    <xf numFmtId="0" fontId="3" fillId="0" borderId="1" xfId="0" applyFont="1" applyBorder="1"/>
    <xf numFmtId="0" fontId="2" fillId="0" borderId="1" xfId="0" applyFont="1" applyBorder="1"/>
    <xf numFmtId="164" fontId="3" fillId="0" borderId="1" xfId="2" applyNumberFormat="1" applyFont="1" applyBorder="1"/>
    <xf numFmtId="43" fontId="3" fillId="0" borderId="1" xfId="1" applyFont="1" applyBorder="1"/>
    <xf numFmtId="0" fontId="2" fillId="0" borderId="1" xfId="0" applyFont="1" applyBorder="1" applyAlignment="1">
      <alignment wrapText="1"/>
    </xf>
    <xf numFmtId="0" fontId="3" fillId="0" borderId="1" xfId="0" applyFont="1" applyBorder="1" applyAlignment="1">
      <alignment horizontal="center" vertical="center" wrapText="1"/>
    </xf>
    <xf numFmtId="0" fontId="2" fillId="3" borderId="0" xfId="0" applyFont="1" applyFill="1"/>
    <xf numFmtId="0" fontId="3" fillId="3" borderId="0" xfId="0" applyFont="1" applyFill="1"/>
    <xf numFmtId="0" fontId="5" fillId="0" borderId="0" xfId="0" applyFont="1"/>
    <xf numFmtId="3" fontId="2" fillId="0" borderId="0" xfId="0" applyNumberFormat="1" applyFont="1"/>
    <xf numFmtId="0" fontId="5" fillId="0" borderId="0" xfId="0" applyFont="1" applyAlignment="1">
      <alignment horizontal="left" indent="1"/>
    </xf>
    <xf numFmtId="43" fontId="2" fillId="0" borderId="0" xfId="1" applyFont="1" applyFill="1"/>
    <xf numFmtId="43" fontId="2" fillId="0" borderId="0" xfId="0" applyNumberFormat="1" applyFont="1"/>
    <xf numFmtId="165" fontId="3" fillId="0" borderId="0" xfId="1" applyNumberFormat="1" applyFont="1"/>
    <xf numFmtId="165" fontId="3" fillId="0" borderId="0" xfId="1" applyNumberFormat="1" applyFont="1" applyFill="1"/>
    <xf numFmtId="165" fontId="2" fillId="0" borderId="0" xfId="2" applyNumberFormat="1" applyFont="1" applyFill="1"/>
    <xf numFmtId="164" fontId="3" fillId="0" borderId="1" xfId="2" applyNumberFormat="1" applyFont="1" applyFill="1" applyBorder="1"/>
    <xf numFmtId="164" fontId="2" fillId="0" borderId="0" xfId="2" applyNumberFormat="1" applyFont="1" applyFill="1"/>
    <xf numFmtId="43" fontId="7" fillId="0" borderId="0" xfId="1" applyFont="1" applyBorder="1"/>
    <xf numFmtId="0" fontId="5" fillId="0" borderId="0" xfId="0" applyFont="1" applyAlignment="1">
      <alignment horizontal="left" wrapText="1" indent="1"/>
    </xf>
    <xf numFmtId="2" fontId="5" fillId="0" borderId="0" xfId="0" applyNumberFormat="1" applyFont="1"/>
    <xf numFmtId="0" fontId="3" fillId="0" borderId="0" xfId="0" applyFont="1" applyAlignment="1">
      <alignment horizontal="center"/>
    </xf>
    <xf numFmtId="0" fontId="5" fillId="0" borderId="0" xfId="0" applyFont="1" applyAlignment="1">
      <alignment wrapText="1"/>
    </xf>
    <xf numFmtId="165" fontId="2" fillId="0" borderId="0" xfId="1" applyNumberFormat="1" applyFont="1" applyBorder="1"/>
    <xf numFmtId="43" fontId="2" fillId="0" borderId="0" xfId="1" applyFont="1" applyBorder="1"/>
    <xf numFmtId="0" fontId="6" fillId="0" borderId="0" xfId="0" applyFont="1" applyAlignment="1">
      <alignment wrapText="1"/>
    </xf>
    <xf numFmtId="43" fontId="3" fillId="0" borderId="0" xfId="1" applyFont="1" applyBorder="1"/>
    <xf numFmtId="0" fontId="3" fillId="0" borderId="0" xfId="0" applyFont="1" applyAlignment="1">
      <alignment horizontal="center" vertical="center" wrapText="1"/>
    </xf>
    <xf numFmtId="43" fontId="2" fillId="0" borderId="0" xfId="1" applyFont="1" applyBorder="1" applyAlignment="1">
      <alignment horizontal="left" indent="1"/>
    </xf>
    <xf numFmtId="43" fontId="3" fillId="0" borderId="0" xfId="0" applyNumberFormat="1" applyFont="1"/>
    <xf numFmtId="0" fontId="3" fillId="0" borderId="0" xfId="0" applyFont="1" applyAlignment="1">
      <alignment horizontal="lef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8745\AppData\Local\Microsoft\Windows\INetCache\Content.Outlook\14NQ2KKB\VA_Individual_Budget_Table_TransportationElectrification%20-%20FINAL.xlsx" TargetMode="External"/><Relationship Id="rId1" Type="http://schemas.openxmlformats.org/officeDocument/2006/relationships/externalLinkPath" Target="file:///C:\Users\18745\AppData\Local\Microsoft\Windows\INetCache\Content.Outlook\14NQ2KKB\VA_Individual_Budget_Table_TransportationElectrification%20-%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Consolidated Budget"/>
      <sheetName val="Measure 1 Budget"/>
      <sheetName val="Measure 2 Budget"/>
      <sheetName val="Project 1 VDOT"/>
      <sheetName val="Project 2 DRPT"/>
      <sheetName val="Project 3 VA Energy"/>
      <sheetName val="Project 4a VPA"/>
      <sheetName val="Project 4b VPA"/>
      <sheetName val="Project 4c VPA"/>
      <sheetName val="DEQ Staff Costs"/>
      <sheetName val="Travel"/>
    </sheetNames>
    <sheetDataSet>
      <sheetData sheetId="0"/>
      <sheetData sheetId="1">
        <row r="23">
          <cell r="D23">
            <v>4075638</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9F1C7-108E-4278-A9B9-826A3874BE11}">
  <dimension ref="A1:AB122"/>
  <sheetViews>
    <sheetView tabSelected="1" workbookViewId="0">
      <selection activeCell="G12" sqref="G12"/>
    </sheetView>
  </sheetViews>
  <sheetFormatPr defaultColWidth="8.7109375" defaultRowHeight="15" outlineLevelRow="1" x14ac:dyDescent="0.25"/>
  <cols>
    <col min="1" max="1" width="1.42578125" style="1" customWidth="1"/>
    <col min="2" max="2" width="38.5703125" style="1" customWidth="1"/>
    <col min="3" max="3" width="18.42578125" style="1" customWidth="1"/>
    <col min="4" max="4" width="18.85546875" style="1" customWidth="1"/>
    <col min="5" max="5" width="26.5703125" style="1" customWidth="1"/>
    <col min="6" max="6" width="16.42578125" style="1" customWidth="1"/>
    <col min="7" max="7" width="18.5703125" style="1" customWidth="1"/>
    <col min="8" max="8" width="20.28515625" style="1" customWidth="1"/>
    <col min="9" max="9" width="20" style="1" customWidth="1"/>
    <col min="10" max="10" width="20.85546875" style="1" customWidth="1"/>
    <col min="11" max="11" width="16.7109375" style="1" customWidth="1"/>
    <col min="12" max="13" width="10.140625" style="1" bestFit="1" customWidth="1"/>
    <col min="14" max="16384" width="8.7109375" style="1"/>
  </cols>
  <sheetData>
    <row r="1" spans="1:11" s="7" customFormat="1" ht="15.75" x14ac:dyDescent="0.25">
      <c r="A1" s="7" t="s">
        <v>121</v>
      </c>
    </row>
    <row r="3" spans="1:11" s="5" customFormat="1" ht="45.75" thickBot="1" x14ac:dyDescent="0.3">
      <c r="B3" s="15"/>
      <c r="C3" s="15"/>
      <c r="D3" s="16" t="s">
        <v>0</v>
      </c>
      <c r="E3" s="16" t="s">
        <v>1</v>
      </c>
      <c r="F3" s="16" t="s">
        <v>2</v>
      </c>
      <c r="G3" s="16" t="s">
        <v>3</v>
      </c>
      <c r="H3" s="16" t="s">
        <v>4</v>
      </c>
      <c r="I3" s="16" t="s">
        <v>5</v>
      </c>
      <c r="J3" s="16" t="s">
        <v>6</v>
      </c>
      <c r="K3" s="16" t="s">
        <v>7</v>
      </c>
    </row>
    <row r="4" spans="1:11" x14ac:dyDescent="0.25">
      <c r="B4" s="41" t="s">
        <v>8</v>
      </c>
      <c r="C4" s="41"/>
      <c r="D4" s="10">
        <f>SUM(D5:D7)</f>
        <v>153169.4647267402</v>
      </c>
      <c r="E4" s="10">
        <f>SUM(E5:E7)</f>
        <v>407700.67648974783</v>
      </c>
      <c r="F4" s="25">
        <f t="shared" ref="F4:G4" si="0">SUM(F5:F7)</f>
        <v>110083413</v>
      </c>
      <c r="G4" s="24">
        <f t="shared" si="0"/>
        <v>355384030.64705884</v>
      </c>
      <c r="H4" s="10">
        <f>F4/G4</f>
        <v>0.30975903109536934</v>
      </c>
      <c r="I4" s="10">
        <f>SUM(I5:I7)</f>
        <v>27851.681727426374</v>
      </c>
      <c r="J4" s="10">
        <f>SUM(J5:J7)</f>
        <v>132135.72445171644</v>
      </c>
      <c r="K4" s="9">
        <f>F4/I4</f>
        <v>3952.4871093007505</v>
      </c>
    </row>
    <row r="5" spans="1:11" x14ac:dyDescent="0.25">
      <c r="B5" s="1" t="s">
        <v>9</v>
      </c>
      <c r="C5" s="1" t="s">
        <v>10</v>
      </c>
      <c r="D5" s="8">
        <f>SUM(C28:H28)</f>
        <v>1949.1909647411449</v>
      </c>
      <c r="E5" s="8">
        <f>SUM(C28:L28)</f>
        <v>3348.2067368317817</v>
      </c>
      <c r="F5" s="26">
        <v>4075638</v>
      </c>
      <c r="G5" s="26">
        <f>'[1]Consolidated Budget'!$D$23</f>
        <v>4075638</v>
      </c>
      <c r="H5" s="8">
        <f t="shared" ref="H5:H9" si="1">F5/G5</f>
        <v>1</v>
      </c>
      <c r="I5" s="8">
        <f t="shared" ref="I5:I8" si="2">H5*D5</f>
        <v>1949.1909647411449</v>
      </c>
      <c r="J5" s="8">
        <f>H5*E5</f>
        <v>3348.2067368317817</v>
      </c>
      <c r="K5" s="2">
        <f>F5/I5</f>
        <v>2090.938278354502</v>
      </c>
    </row>
    <row r="6" spans="1:11" x14ac:dyDescent="0.25">
      <c r="B6" s="1" t="s">
        <v>11</v>
      </c>
      <c r="C6" s="1" t="s">
        <v>12</v>
      </c>
      <c r="D6" s="8">
        <v>20154</v>
      </c>
      <c r="E6" s="8">
        <v>155309</v>
      </c>
      <c r="F6" s="26">
        <v>84937707</v>
      </c>
      <c r="G6" s="26">
        <f>F6/0.68</f>
        <v>124908392.64705881</v>
      </c>
      <c r="H6" s="8">
        <f t="shared" si="1"/>
        <v>0.68</v>
      </c>
      <c r="I6" s="8">
        <f t="shared" si="2"/>
        <v>13704.720000000001</v>
      </c>
      <c r="J6" s="8">
        <f t="shared" ref="J6" si="3">H6*E6</f>
        <v>105610.12000000001</v>
      </c>
      <c r="K6" s="2">
        <f t="shared" ref="K6:K9" si="4">F6/I6</f>
        <v>6197.6973626604549</v>
      </c>
    </row>
    <row r="7" spans="1:11" x14ac:dyDescent="0.25">
      <c r="B7" s="1" t="s">
        <v>13</v>
      </c>
      <c r="C7" s="1" t="s">
        <v>14</v>
      </c>
      <c r="D7" s="8">
        <f>SUM(C51:H51)</f>
        <v>131066.27376199905</v>
      </c>
      <c r="E7" s="8">
        <f>SUM(C51:M51)</f>
        <v>249043.46975291608</v>
      </c>
      <c r="F7" s="26">
        <v>21070068</v>
      </c>
      <c r="G7" s="26">
        <f>C38*C43</f>
        <v>226400000</v>
      </c>
      <c r="H7" s="8">
        <f>F7/G7</f>
        <v>9.3065671378091866E-2</v>
      </c>
      <c r="I7" s="8">
        <f t="shared" si="2"/>
        <v>12197.770762685228</v>
      </c>
      <c r="J7" s="8">
        <f>H7*E7</f>
        <v>23177.39771488465</v>
      </c>
      <c r="K7" s="2">
        <f>F7/I7</f>
        <v>1727.3703867641482</v>
      </c>
    </row>
    <row r="8" spans="1:11" ht="15.75" thickBot="1" x14ac:dyDescent="0.3">
      <c r="B8" s="11" t="s">
        <v>15</v>
      </c>
      <c r="C8" s="12" t="s">
        <v>16</v>
      </c>
      <c r="D8" s="14">
        <f>E69+C92*3+C96</f>
        <v>38318.732174023287</v>
      </c>
      <c r="E8" s="14">
        <f>SUM(E69:E78)+C92*23+D96</f>
        <v>143196.9787753525</v>
      </c>
      <c r="F8" s="27">
        <v>89916586</v>
      </c>
      <c r="G8" s="27">
        <f>F8</f>
        <v>89916586</v>
      </c>
      <c r="H8" s="14">
        <f t="shared" si="1"/>
        <v>1</v>
      </c>
      <c r="I8" s="14">
        <f t="shared" si="2"/>
        <v>38318.732174023287</v>
      </c>
      <c r="J8" s="14">
        <f>H8*E8</f>
        <v>143196.9787753525</v>
      </c>
      <c r="K8" s="13">
        <f t="shared" si="4"/>
        <v>2346.543867674085</v>
      </c>
    </row>
    <row r="9" spans="1:11" x14ac:dyDescent="0.25">
      <c r="B9" s="4" t="s">
        <v>17</v>
      </c>
      <c r="D9" s="8">
        <f>SUM(D8,D4)</f>
        <v>191488.19690076349</v>
      </c>
      <c r="E9" s="8">
        <f>SUM(E8,E4)</f>
        <v>550897.6552651003</v>
      </c>
      <c r="F9" s="28">
        <f t="shared" ref="F9:G9" si="5">SUM(F8,F4)</f>
        <v>199999999</v>
      </c>
      <c r="G9" s="2">
        <f t="shared" si="5"/>
        <v>445300616.64705884</v>
      </c>
      <c r="H9" s="3">
        <f t="shared" si="1"/>
        <v>0.44913479012430418</v>
      </c>
      <c r="I9" s="8">
        <f>SUM(I8,I4)</f>
        <v>66170.413901449661</v>
      </c>
      <c r="J9" s="8">
        <f>SUM(J8,J4)</f>
        <v>275332.70322706894</v>
      </c>
      <c r="K9" s="2">
        <f t="shared" si="4"/>
        <v>3022.4988360790412</v>
      </c>
    </row>
    <row r="10" spans="1:11" x14ac:dyDescent="0.25">
      <c r="F10" s="2"/>
      <c r="G10" s="2"/>
    </row>
    <row r="12" spans="1:11" s="17" customFormat="1" x14ac:dyDescent="0.25">
      <c r="B12" s="18" t="s">
        <v>18</v>
      </c>
    </row>
    <row r="13" spans="1:11" outlineLevel="1" x14ac:dyDescent="0.25">
      <c r="B13" s="4" t="s">
        <v>19</v>
      </c>
    </row>
    <row r="14" spans="1:11" outlineLevel="1" x14ac:dyDescent="0.25">
      <c r="B14" s="21" t="s">
        <v>20</v>
      </c>
      <c r="C14" s="20">
        <v>12000</v>
      </c>
      <c r="D14" s="1" t="s">
        <v>21</v>
      </c>
      <c r="E14" s="1" t="s">
        <v>22</v>
      </c>
    </row>
    <row r="15" spans="1:11" outlineLevel="1" x14ac:dyDescent="0.25">
      <c r="B15" s="21" t="s">
        <v>23</v>
      </c>
      <c r="C15" s="1">
        <v>50</v>
      </c>
    </row>
    <row r="16" spans="1:11" outlineLevel="1" x14ac:dyDescent="0.25">
      <c r="B16" s="21" t="s">
        <v>24</v>
      </c>
      <c r="C16" s="1">
        <v>10</v>
      </c>
      <c r="D16" s="1" t="s">
        <v>25</v>
      </c>
      <c r="E16" s="19" t="s">
        <v>26</v>
      </c>
    </row>
    <row r="17" spans="2:28" outlineLevel="1" x14ac:dyDescent="0.25">
      <c r="B17" s="21" t="s">
        <v>27</v>
      </c>
      <c r="C17" s="1">
        <v>2025</v>
      </c>
    </row>
    <row r="18" spans="2:28" outlineLevel="1" x14ac:dyDescent="0.25">
      <c r="B18" s="21" t="s">
        <v>28</v>
      </c>
      <c r="C18" s="1">
        <f>50/100</f>
        <v>0.5</v>
      </c>
      <c r="D18" s="1" t="s">
        <v>29</v>
      </c>
      <c r="E18" s="1" t="s">
        <v>30</v>
      </c>
    </row>
    <row r="19" spans="2:28" outlineLevel="1" x14ac:dyDescent="0.25">
      <c r="B19" s="21" t="s">
        <v>31</v>
      </c>
      <c r="C19" s="1">
        <v>648</v>
      </c>
      <c r="D19" s="1" t="s">
        <v>32</v>
      </c>
      <c r="E19" s="1" t="s">
        <v>33</v>
      </c>
    </row>
    <row r="20" spans="2:28" outlineLevel="1" x14ac:dyDescent="0.25"/>
    <row r="21" spans="2:28" outlineLevel="1" x14ac:dyDescent="0.25"/>
    <row r="22" spans="2:28" outlineLevel="1" x14ac:dyDescent="0.25">
      <c r="B22" s="4" t="s">
        <v>34</v>
      </c>
      <c r="C22" s="4">
        <v>2025</v>
      </c>
      <c r="D22" s="4">
        <v>2026</v>
      </c>
      <c r="E22" s="4">
        <v>2027</v>
      </c>
      <c r="F22" s="4">
        <v>2028</v>
      </c>
      <c r="G22" s="4">
        <v>2029</v>
      </c>
      <c r="H22" s="4">
        <v>2030</v>
      </c>
      <c r="I22" s="4">
        <v>2031</v>
      </c>
      <c r="J22" s="4">
        <v>2032</v>
      </c>
      <c r="K22" s="4">
        <v>2033</v>
      </c>
      <c r="L22" s="4">
        <v>2034</v>
      </c>
    </row>
    <row r="23" spans="2:28" ht="45" outlineLevel="1" x14ac:dyDescent="0.25">
      <c r="B23" s="30" t="s">
        <v>35</v>
      </c>
      <c r="C23" s="29">
        <v>0.26014681173811971</v>
      </c>
      <c r="D23" s="29">
        <v>0.2535168564999381</v>
      </c>
      <c r="E23" s="29">
        <v>0.21812610284485115</v>
      </c>
      <c r="F23" s="29">
        <v>0.21953064455181284</v>
      </c>
      <c r="G23" s="29">
        <v>0.16673077091382232</v>
      </c>
      <c r="H23" s="29">
        <v>0.16064559764763908</v>
      </c>
      <c r="I23" s="29">
        <v>0.14250263386424755</v>
      </c>
      <c r="J23" s="29">
        <v>0.14305237159583103</v>
      </c>
      <c r="K23" s="29">
        <v>0.13783995538593674</v>
      </c>
      <c r="L23" s="29">
        <v>9.7219132185195664E-2</v>
      </c>
      <c r="M23" s="29"/>
      <c r="N23" s="29"/>
      <c r="O23" s="29"/>
      <c r="P23" s="29"/>
      <c r="Q23" s="29"/>
      <c r="R23" s="29"/>
      <c r="S23" s="29"/>
      <c r="T23" s="29"/>
      <c r="U23" s="29"/>
      <c r="V23" s="29"/>
      <c r="W23" s="29"/>
      <c r="X23" s="29"/>
      <c r="Y23" s="29"/>
      <c r="Z23" s="29"/>
      <c r="AA23" s="29"/>
      <c r="AB23" s="29"/>
    </row>
    <row r="24" spans="2:28" outlineLevel="1" x14ac:dyDescent="0.25">
      <c r="B24" s="4"/>
    </row>
    <row r="25" spans="2:28" outlineLevel="1" x14ac:dyDescent="0.25">
      <c r="B25" s="4" t="s">
        <v>36</v>
      </c>
      <c r="C25" s="4">
        <v>2025</v>
      </c>
      <c r="D25" s="4">
        <v>2026</v>
      </c>
      <c r="E25" s="4">
        <v>2027</v>
      </c>
      <c r="F25" s="4">
        <v>2028</v>
      </c>
      <c r="G25" s="4">
        <v>2029</v>
      </c>
      <c r="H25" s="4">
        <v>2030</v>
      </c>
      <c r="I25" s="4">
        <v>2031</v>
      </c>
      <c r="J25" s="4">
        <v>2032</v>
      </c>
      <c r="K25" s="4">
        <v>2033</v>
      </c>
      <c r="L25" s="4">
        <v>2034</v>
      </c>
    </row>
    <row r="26" spans="2:28" ht="30" outlineLevel="1" x14ac:dyDescent="0.25">
      <c r="B26" s="30" t="s">
        <v>37</v>
      </c>
      <c r="C26" s="1">
        <f>C15*C14*C19/C122</f>
        <v>388.8</v>
      </c>
      <c r="D26" s="3">
        <f>C26</f>
        <v>388.8</v>
      </c>
      <c r="E26" s="3">
        <f t="shared" ref="E26:L26" si="6">D26</f>
        <v>388.8</v>
      </c>
      <c r="F26" s="3">
        <f t="shared" si="6"/>
        <v>388.8</v>
      </c>
      <c r="G26" s="3">
        <f t="shared" si="6"/>
        <v>388.8</v>
      </c>
      <c r="H26" s="3">
        <f t="shared" si="6"/>
        <v>388.8</v>
      </c>
      <c r="I26" s="3">
        <f t="shared" si="6"/>
        <v>388.8</v>
      </c>
      <c r="J26" s="3">
        <f t="shared" si="6"/>
        <v>388.8</v>
      </c>
      <c r="K26" s="3">
        <f t="shared" si="6"/>
        <v>388.8</v>
      </c>
      <c r="L26" s="3">
        <f t="shared" si="6"/>
        <v>388.8</v>
      </c>
      <c r="M26" s="3"/>
      <c r="N26" s="3"/>
      <c r="O26" s="3"/>
      <c r="P26" s="3"/>
      <c r="Q26" s="3"/>
      <c r="R26" s="3"/>
      <c r="S26" s="3"/>
      <c r="T26" s="3"/>
      <c r="U26" s="3"/>
      <c r="V26" s="3"/>
      <c r="W26" s="3"/>
      <c r="X26" s="3"/>
      <c r="Y26" s="3"/>
      <c r="Z26" s="3"/>
      <c r="AA26" s="3"/>
      <c r="AB26" s="3"/>
    </row>
    <row r="27" spans="2:28" ht="30" outlineLevel="1" x14ac:dyDescent="0.25">
      <c r="B27" s="30" t="s">
        <v>38</v>
      </c>
      <c r="C27" s="23">
        <f>$C$14*$C$15*$C$18*C23/1000</f>
        <v>78.04404352143591</v>
      </c>
      <c r="D27" s="23">
        <f t="shared" ref="D27:L27" si="7">$C$14*$C$15*$C$18*D23/1000</f>
        <v>76.055056949981434</v>
      </c>
      <c r="E27" s="23">
        <f t="shared" si="7"/>
        <v>65.437830853455338</v>
      </c>
      <c r="F27" s="23">
        <f t="shared" si="7"/>
        <v>65.859193365543845</v>
      </c>
      <c r="G27" s="23">
        <f t="shared" si="7"/>
        <v>50.019231274146698</v>
      </c>
      <c r="H27" s="23">
        <f t="shared" si="7"/>
        <v>48.193679294291726</v>
      </c>
      <c r="I27" s="23">
        <f t="shared" si="7"/>
        <v>42.750790159274267</v>
      </c>
      <c r="J27" s="23">
        <f t="shared" si="7"/>
        <v>42.915711478749309</v>
      </c>
      <c r="K27" s="23">
        <f t="shared" si="7"/>
        <v>41.351986615781023</v>
      </c>
      <c r="L27" s="23">
        <f t="shared" si="7"/>
        <v>29.165739655558699</v>
      </c>
      <c r="M27" s="23"/>
      <c r="N27" s="3"/>
      <c r="O27" s="3"/>
      <c r="P27" s="3"/>
      <c r="Q27" s="3"/>
      <c r="R27" s="3"/>
      <c r="S27" s="3"/>
      <c r="T27" s="3"/>
      <c r="U27" s="3"/>
      <c r="V27" s="3"/>
      <c r="W27" s="3"/>
      <c r="X27" s="3"/>
      <c r="Y27" s="3"/>
      <c r="Z27" s="3"/>
      <c r="AA27" s="3"/>
      <c r="AB27" s="3"/>
    </row>
    <row r="28" spans="2:28" outlineLevel="1" x14ac:dyDescent="0.25">
      <c r="B28" s="21" t="s">
        <v>39</v>
      </c>
      <c r="C28" s="23">
        <f>C26-C27</f>
        <v>310.75595647856409</v>
      </c>
      <c r="D28" s="23">
        <f t="shared" ref="D28:L28" si="8">D26-D27</f>
        <v>312.74494305001861</v>
      </c>
      <c r="E28" s="23">
        <f t="shared" si="8"/>
        <v>323.36216914654466</v>
      </c>
      <c r="F28" s="23">
        <f t="shared" si="8"/>
        <v>322.94080663445618</v>
      </c>
      <c r="G28" s="23">
        <f t="shared" si="8"/>
        <v>338.78076872585331</v>
      </c>
      <c r="H28" s="23">
        <f t="shared" si="8"/>
        <v>340.6063207057083</v>
      </c>
      <c r="I28" s="23">
        <f t="shared" si="8"/>
        <v>346.04920984072572</v>
      </c>
      <c r="J28" s="23">
        <f t="shared" si="8"/>
        <v>345.88428852125071</v>
      </c>
      <c r="K28" s="23">
        <f t="shared" si="8"/>
        <v>347.448013384219</v>
      </c>
      <c r="L28" s="23">
        <f t="shared" si="8"/>
        <v>359.63426034444132</v>
      </c>
      <c r="M28" s="23"/>
    </row>
    <row r="30" spans="2:28" s="17" customFormat="1" x14ac:dyDescent="0.25">
      <c r="B30" s="18" t="s">
        <v>40</v>
      </c>
    </row>
    <row r="32" spans="2:28" x14ac:dyDescent="0.25">
      <c r="B32" s="19" t="s">
        <v>41</v>
      </c>
    </row>
    <row r="34" spans="2:28" s="17" customFormat="1" x14ac:dyDescent="0.25">
      <c r="B34" s="18" t="s">
        <v>42</v>
      </c>
    </row>
    <row r="35" spans="2:28" outlineLevel="1" x14ac:dyDescent="0.25">
      <c r="B35" s="4" t="s">
        <v>19</v>
      </c>
    </row>
    <row r="36" spans="2:28" outlineLevel="1" x14ac:dyDescent="0.25">
      <c r="B36" s="21" t="s">
        <v>43</v>
      </c>
      <c r="C36" s="20">
        <v>12400</v>
      </c>
      <c r="D36" s="1" t="s">
        <v>44</v>
      </c>
    </row>
    <row r="37" spans="2:28" outlineLevel="1" x14ac:dyDescent="0.25">
      <c r="B37" s="21" t="s">
        <v>45</v>
      </c>
      <c r="C37" s="1">
        <v>0.25</v>
      </c>
      <c r="D37" s="1" t="s">
        <v>29</v>
      </c>
      <c r="E37" s="1" t="s">
        <v>30</v>
      </c>
    </row>
    <row r="38" spans="2:28" outlineLevel="1" x14ac:dyDescent="0.25">
      <c r="B38" s="21" t="s">
        <v>46</v>
      </c>
      <c r="C38" s="1">
        <v>5660</v>
      </c>
    </row>
    <row r="39" spans="2:28" outlineLevel="1" x14ac:dyDescent="0.25">
      <c r="B39" s="21" t="s">
        <v>47</v>
      </c>
      <c r="C39" s="1">
        <v>10</v>
      </c>
      <c r="D39" s="1" t="s">
        <v>25</v>
      </c>
    </row>
    <row r="40" spans="2:28" outlineLevel="1" x14ac:dyDescent="0.25">
      <c r="B40" s="21" t="s">
        <v>48</v>
      </c>
      <c r="C40" s="1">
        <f>C38/2</f>
        <v>2830</v>
      </c>
    </row>
    <row r="41" spans="2:28" outlineLevel="1" x14ac:dyDescent="0.25">
      <c r="B41" s="21" t="s">
        <v>49</v>
      </c>
      <c r="C41" s="1">
        <f>C38-C40</f>
        <v>2830</v>
      </c>
    </row>
    <row r="42" spans="2:28" outlineLevel="1" x14ac:dyDescent="0.25">
      <c r="B42" s="21" t="s">
        <v>50</v>
      </c>
      <c r="C42" s="22">
        <v>0.89795958399999998</v>
      </c>
      <c r="D42" s="1" t="s">
        <v>51</v>
      </c>
      <c r="E42" s="1" t="s">
        <v>52</v>
      </c>
    </row>
    <row r="43" spans="2:28" outlineLevel="1" x14ac:dyDescent="0.25">
      <c r="B43" s="21" t="s">
        <v>53</v>
      </c>
      <c r="C43" s="6">
        <v>40000</v>
      </c>
      <c r="E43" s="1" t="s">
        <v>54</v>
      </c>
    </row>
    <row r="44" spans="2:28" outlineLevel="1" x14ac:dyDescent="0.25"/>
    <row r="45" spans="2:28" outlineLevel="1" x14ac:dyDescent="0.25">
      <c r="B45" s="4" t="s">
        <v>34</v>
      </c>
      <c r="C45" s="4">
        <v>2025</v>
      </c>
      <c r="D45" s="4">
        <v>2026</v>
      </c>
      <c r="E45" s="4">
        <v>2027</v>
      </c>
      <c r="F45" s="4">
        <v>2028</v>
      </c>
      <c r="G45" s="4">
        <v>2029</v>
      </c>
      <c r="H45" s="4">
        <v>2030</v>
      </c>
      <c r="I45" s="4">
        <v>2031</v>
      </c>
      <c r="J45" s="4">
        <v>2032</v>
      </c>
      <c r="K45" s="4">
        <v>2033</v>
      </c>
      <c r="L45" s="4">
        <v>2034</v>
      </c>
      <c r="M45" s="4">
        <v>2035</v>
      </c>
    </row>
    <row r="46" spans="2:28" ht="45" outlineLevel="1" x14ac:dyDescent="0.25">
      <c r="B46" s="30" t="s">
        <v>35</v>
      </c>
      <c r="C46" s="29">
        <v>0.26014681173811971</v>
      </c>
      <c r="D46" s="29">
        <v>0.2535168564999381</v>
      </c>
      <c r="E46" s="29">
        <v>0.21812610284485115</v>
      </c>
      <c r="F46" s="29">
        <v>0.21953064455181284</v>
      </c>
      <c r="G46" s="29">
        <v>0.16673077091382232</v>
      </c>
      <c r="H46" s="29">
        <v>0.16064559764763908</v>
      </c>
      <c r="I46" s="29">
        <v>0.14250263386424755</v>
      </c>
      <c r="J46" s="29">
        <v>0.14305237159583103</v>
      </c>
      <c r="K46" s="29">
        <v>0.13783995538593674</v>
      </c>
      <c r="L46" s="29">
        <v>9.7219132185195664E-2</v>
      </c>
      <c r="M46" s="29">
        <v>8.7037154092314925E-2</v>
      </c>
      <c r="N46" s="29"/>
      <c r="O46" s="29"/>
      <c r="P46" s="29"/>
      <c r="Q46" s="29"/>
      <c r="R46" s="29"/>
      <c r="S46" s="29"/>
      <c r="T46" s="29"/>
      <c r="U46" s="29"/>
      <c r="V46" s="29"/>
      <c r="W46" s="29"/>
      <c r="X46" s="29"/>
      <c r="Y46" s="29"/>
      <c r="Z46" s="29"/>
      <c r="AA46" s="29"/>
      <c r="AB46" s="29"/>
    </row>
    <row r="47" spans="2:28" outlineLevel="1" x14ac:dyDescent="0.25">
      <c r="B47" s="4"/>
    </row>
    <row r="48" spans="2:28" outlineLevel="1" x14ac:dyDescent="0.25">
      <c r="B48" s="4" t="s">
        <v>36</v>
      </c>
      <c r="C48" s="4">
        <v>2025</v>
      </c>
      <c r="D48" s="4">
        <v>2026</v>
      </c>
      <c r="E48" s="4">
        <v>2027</v>
      </c>
      <c r="F48" s="4">
        <v>2028</v>
      </c>
      <c r="G48" s="4">
        <v>2029</v>
      </c>
      <c r="H48" s="4">
        <v>2030</v>
      </c>
      <c r="I48" s="4">
        <v>2031</v>
      </c>
      <c r="J48" s="4">
        <v>2032</v>
      </c>
      <c r="K48" s="4">
        <v>2033</v>
      </c>
      <c r="L48" s="4">
        <v>2034</v>
      </c>
      <c r="M48" s="4">
        <v>2035</v>
      </c>
      <c r="N48" s="19"/>
    </row>
    <row r="49" spans="2:28" ht="30" outlineLevel="1" x14ac:dyDescent="0.25">
      <c r="B49" s="30" t="s">
        <v>55</v>
      </c>
      <c r="C49" s="22">
        <f>C36*C38*C42*C121</f>
        <v>28586.454393988093</v>
      </c>
      <c r="D49" s="22">
        <f>C49</f>
        <v>28586.454393988093</v>
      </c>
      <c r="E49" s="22">
        <f t="shared" ref="E49:L49" si="9">D49</f>
        <v>28586.454393988093</v>
      </c>
      <c r="F49" s="22">
        <f t="shared" si="9"/>
        <v>28586.454393988093</v>
      </c>
      <c r="G49" s="22">
        <f t="shared" si="9"/>
        <v>28586.454393988093</v>
      </c>
      <c r="H49" s="22">
        <f t="shared" si="9"/>
        <v>28586.454393988093</v>
      </c>
      <c r="I49" s="22">
        <f t="shared" si="9"/>
        <v>28586.454393988093</v>
      </c>
      <c r="J49" s="22">
        <f t="shared" si="9"/>
        <v>28586.454393988093</v>
      </c>
      <c r="K49" s="22">
        <f t="shared" si="9"/>
        <v>28586.454393988093</v>
      </c>
      <c r="L49" s="22">
        <f t="shared" si="9"/>
        <v>28586.454393988093</v>
      </c>
      <c r="M49" s="22">
        <f>L49/2</f>
        <v>14293.227196994047</v>
      </c>
      <c r="N49" s="31" t="s">
        <v>56</v>
      </c>
      <c r="O49" s="3"/>
      <c r="P49" s="3"/>
      <c r="Q49" s="3"/>
      <c r="R49" s="3"/>
      <c r="S49" s="3"/>
      <c r="T49" s="3"/>
      <c r="U49" s="3"/>
      <c r="V49" s="3"/>
      <c r="W49" s="3"/>
      <c r="X49" s="3"/>
      <c r="Y49" s="3"/>
      <c r="Z49" s="3"/>
      <c r="AA49" s="3"/>
      <c r="AB49" s="3"/>
    </row>
    <row r="50" spans="2:28" ht="30" outlineLevel="1" x14ac:dyDescent="0.25">
      <c r="B50" s="30" t="s">
        <v>57</v>
      </c>
      <c r="C50" s="22">
        <f>C49/2+C49/4+C36*C37*C40*C46/1000/2</f>
        <v>22580.974785180329</v>
      </c>
      <c r="D50" s="22">
        <f>+$C$36*$C$37*$C$38*D46/1000</f>
        <v>4448.2067641479143</v>
      </c>
      <c r="E50" s="22">
        <f t="shared" ref="E50:L50" si="10">+$C$36*$C$37*$C$38*E46/1000</f>
        <v>3827.2406005157582</v>
      </c>
      <c r="F50" s="22">
        <f t="shared" si="10"/>
        <v>3851.8846893061082</v>
      </c>
      <c r="G50" s="22">
        <f t="shared" si="10"/>
        <v>2925.4581064539261</v>
      </c>
      <c r="H50" s="22">
        <f t="shared" si="10"/>
        <v>2818.6876563254755</v>
      </c>
      <c r="I50" s="22">
        <f t="shared" si="10"/>
        <v>2500.3512137820876</v>
      </c>
      <c r="J50" s="22">
        <f t="shared" si="10"/>
        <v>2509.9969120204514</v>
      </c>
      <c r="K50" s="22">
        <f t="shared" si="10"/>
        <v>2418.5398572016461</v>
      </c>
      <c r="L50" s="22">
        <f t="shared" si="10"/>
        <v>1705.8068933214431</v>
      </c>
      <c r="M50" s="22">
        <f>+$C$36*$C$37*$C$38*M46/1000</f>
        <v>1527.1539057037576</v>
      </c>
      <c r="N50" s="31" t="s">
        <v>58</v>
      </c>
      <c r="O50" s="3"/>
      <c r="P50" s="3"/>
      <c r="Q50" s="3"/>
      <c r="R50" s="3"/>
      <c r="S50" s="3"/>
      <c r="T50" s="3"/>
      <c r="U50" s="3"/>
      <c r="V50" s="3"/>
      <c r="W50" s="3"/>
      <c r="X50" s="3"/>
      <c r="Y50" s="3"/>
      <c r="Z50" s="3"/>
      <c r="AA50" s="3"/>
      <c r="AB50" s="3"/>
    </row>
    <row r="51" spans="2:28" outlineLevel="1" x14ac:dyDescent="0.25">
      <c r="B51" s="21" t="s">
        <v>39</v>
      </c>
      <c r="C51" s="22">
        <f t="shared" ref="C51:D51" si="11">C49-C50</f>
        <v>6005.4796088077637</v>
      </c>
      <c r="D51" s="22">
        <f t="shared" si="11"/>
        <v>24138.247629840178</v>
      </c>
      <c r="E51" s="22">
        <f t="shared" ref="E51" si="12">E49-E50</f>
        <v>24759.213793472336</v>
      </c>
      <c r="F51" s="22">
        <f t="shared" ref="F51" si="13">F49-F50</f>
        <v>24734.569704681984</v>
      </c>
      <c r="G51" s="22">
        <f t="shared" ref="G51" si="14">G49-G50</f>
        <v>25660.996287534166</v>
      </c>
      <c r="H51" s="22">
        <f t="shared" ref="H51" si="15">H49-H50</f>
        <v>25767.76673766262</v>
      </c>
      <c r="I51" s="22">
        <f t="shared" ref="I51" si="16">I49-I50</f>
        <v>26086.103180206006</v>
      </c>
      <c r="J51" s="22">
        <f t="shared" ref="J51" si="17">J49-J50</f>
        <v>26076.457481967642</v>
      </c>
      <c r="K51" s="22">
        <f t="shared" ref="K51" si="18">K49-K50</f>
        <v>26167.914536786448</v>
      </c>
      <c r="L51" s="22">
        <f t="shared" ref="L51:M51" si="19">L49-L50</f>
        <v>26880.647500666651</v>
      </c>
      <c r="M51" s="22">
        <f t="shared" si="19"/>
        <v>12766.073291290289</v>
      </c>
    </row>
    <row r="52" spans="2:28" outlineLevel="1" x14ac:dyDescent="0.25">
      <c r="C52" s="8"/>
      <c r="D52" s="8"/>
      <c r="E52" s="8"/>
      <c r="F52" s="8"/>
      <c r="G52" s="8"/>
      <c r="H52" s="8"/>
      <c r="I52" s="8"/>
      <c r="J52" s="8"/>
      <c r="K52" s="8"/>
      <c r="L52" s="8"/>
    </row>
    <row r="54" spans="2:28" s="17" customFormat="1" x14ac:dyDescent="0.25">
      <c r="B54" s="18" t="s">
        <v>59</v>
      </c>
    </row>
    <row r="56" spans="2:28" x14ac:dyDescent="0.25">
      <c r="B56" s="4" t="s">
        <v>60</v>
      </c>
    </row>
    <row r="57" spans="2:28" outlineLevel="1" x14ac:dyDescent="0.25">
      <c r="C57" s="32" t="s">
        <v>61</v>
      </c>
      <c r="D57" s="32" t="s">
        <v>62</v>
      </c>
      <c r="E57" s="32" t="s">
        <v>63</v>
      </c>
    </row>
    <row r="58" spans="2:28" outlineLevel="1" x14ac:dyDescent="0.25">
      <c r="B58" s="33" t="s">
        <v>64</v>
      </c>
      <c r="C58" s="1">
        <v>12</v>
      </c>
      <c r="D58" s="1">
        <v>5</v>
      </c>
    </row>
    <row r="59" spans="2:28" outlineLevel="1" x14ac:dyDescent="0.25">
      <c r="B59" s="33" t="s">
        <v>65</v>
      </c>
      <c r="C59" s="1">
        <v>8</v>
      </c>
      <c r="D59" s="1">
        <v>4</v>
      </c>
    </row>
    <row r="60" spans="2:28" outlineLevel="1" x14ac:dyDescent="0.25">
      <c r="B60" s="33" t="s">
        <v>66</v>
      </c>
      <c r="C60" s="1">
        <v>2</v>
      </c>
      <c r="D60" s="1">
        <v>2</v>
      </c>
    </row>
    <row r="61" spans="2:28" outlineLevel="1" x14ac:dyDescent="0.25">
      <c r="B61" s="33" t="s">
        <v>67</v>
      </c>
      <c r="C61" s="1">
        <f>C59*C60</f>
        <v>16</v>
      </c>
      <c r="D61" s="1">
        <f>D59*D60</f>
        <v>8</v>
      </c>
    </row>
    <row r="62" spans="2:28" outlineLevel="1" x14ac:dyDescent="0.25">
      <c r="B62" s="33" t="s">
        <v>68</v>
      </c>
      <c r="C62" s="1">
        <v>360</v>
      </c>
      <c r="D62" s="1">
        <v>360</v>
      </c>
    </row>
    <row r="63" spans="2:28" outlineLevel="1" x14ac:dyDescent="0.25">
      <c r="B63" s="33" t="s">
        <v>69</v>
      </c>
      <c r="C63" s="34">
        <f>(C61*C62)</f>
        <v>5760</v>
      </c>
      <c r="D63" s="34">
        <f>(D61*D62)</f>
        <v>2880</v>
      </c>
      <c r="E63" s="34">
        <f>SUM(C63:D63)</f>
        <v>8640</v>
      </c>
    </row>
    <row r="64" spans="2:28" ht="45" outlineLevel="1" x14ac:dyDescent="0.25">
      <c r="B64" s="33" t="s">
        <v>70</v>
      </c>
      <c r="C64" s="3">
        <f>1309+0.099*28+0.014*265</f>
        <v>1315.482</v>
      </c>
      <c r="D64" s="3">
        <f>C64</f>
        <v>1315.482</v>
      </c>
    </row>
    <row r="65" spans="2:5" outlineLevel="1" x14ac:dyDescent="0.25">
      <c r="B65" s="33" t="s">
        <v>71</v>
      </c>
      <c r="C65" s="35">
        <f>(C64*C63)</f>
        <v>7577176.3200000003</v>
      </c>
      <c r="D65" s="35">
        <f t="shared" ref="D65" si="20">(D64*D63)</f>
        <v>3788588.16</v>
      </c>
      <c r="E65" s="35"/>
    </row>
    <row r="66" spans="2:5" ht="30" outlineLevel="1" x14ac:dyDescent="0.25">
      <c r="B66" s="33" t="s">
        <v>72</v>
      </c>
      <c r="C66" s="35">
        <f>(C65*0.000453592)</f>
        <v>3436.94656134144</v>
      </c>
      <c r="D66" s="35">
        <f>(D65*0.000453592)</f>
        <v>1718.47328067072</v>
      </c>
      <c r="E66" s="35"/>
    </row>
    <row r="67" spans="2:5" ht="75" outlineLevel="1" x14ac:dyDescent="0.25">
      <c r="B67" s="33" t="s">
        <v>73</v>
      </c>
      <c r="C67" s="35">
        <f>(C66*0.8)</f>
        <v>2749.557249073152</v>
      </c>
      <c r="D67" s="35">
        <f>(D66*0.8)</f>
        <v>1374.778624536576</v>
      </c>
      <c r="E67" s="35"/>
    </row>
    <row r="68" spans="2:5" outlineLevel="1" x14ac:dyDescent="0.25">
      <c r="B68" s="33" t="s">
        <v>74</v>
      </c>
      <c r="C68" s="1">
        <v>4</v>
      </c>
      <c r="D68" s="1">
        <v>4</v>
      </c>
    </row>
    <row r="69" spans="2:5" outlineLevel="1" x14ac:dyDescent="0.25">
      <c r="B69" s="36" t="s">
        <v>75</v>
      </c>
      <c r="C69" s="37">
        <f>(C67*C68)</f>
        <v>10998.228996292608</v>
      </c>
      <c r="D69" s="37">
        <f t="shared" ref="D69" si="21">(D67*D68)</f>
        <v>5499.114498146304</v>
      </c>
      <c r="E69" s="37">
        <f>SUM(C69:D69)</f>
        <v>16497.343494438912</v>
      </c>
    </row>
    <row r="70" spans="2:5" ht="45" outlineLevel="1" x14ac:dyDescent="0.25">
      <c r="B70" s="33" t="s">
        <v>76</v>
      </c>
      <c r="C70" s="35">
        <f>0.6*C67</f>
        <v>1649.7343494438912</v>
      </c>
      <c r="D70" s="35">
        <f>0.6*D67</f>
        <v>824.86717472194562</v>
      </c>
      <c r="E70" s="35"/>
    </row>
    <row r="71" spans="2:5" outlineLevel="1" x14ac:dyDescent="0.25">
      <c r="B71" s="33" t="s">
        <v>77</v>
      </c>
      <c r="C71" s="1">
        <v>10</v>
      </c>
      <c r="D71" s="1">
        <v>10</v>
      </c>
    </row>
    <row r="72" spans="2:5" outlineLevel="1" x14ac:dyDescent="0.25">
      <c r="B72" s="36" t="s">
        <v>78</v>
      </c>
      <c r="C72" s="40">
        <f>C70*C71</f>
        <v>16497.343494438912</v>
      </c>
      <c r="D72" s="40">
        <f>D70*D71</f>
        <v>8248.6717472194559</v>
      </c>
      <c r="E72" s="37">
        <f>SUM(C72:D72)</f>
        <v>24746.015241658366</v>
      </c>
    </row>
    <row r="73" spans="2:5" ht="45" outlineLevel="1" x14ac:dyDescent="0.25">
      <c r="B73" s="33" t="s">
        <v>79</v>
      </c>
      <c r="C73" s="23">
        <f>C70*0.5</f>
        <v>824.86717472194562</v>
      </c>
      <c r="D73" s="23">
        <f>D70*0.5</f>
        <v>412.43358736097281</v>
      </c>
    </row>
    <row r="74" spans="2:5" outlineLevel="1" x14ac:dyDescent="0.25">
      <c r="B74" s="33" t="s">
        <v>80</v>
      </c>
      <c r="C74" s="1">
        <v>5</v>
      </c>
      <c r="D74" s="1">
        <v>5</v>
      </c>
    </row>
    <row r="75" spans="2:5" outlineLevel="1" x14ac:dyDescent="0.25">
      <c r="B75" s="36" t="s">
        <v>81</v>
      </c>
      <c r="C75" s="40">
        <f>C73*C74</f>
        <v>4124.335873609728</v>
      </c>
      <c r="D75" s="40">
        <f>D73*D74</f>
        <v>2062.167936804864</v>
      </c>
      <c r="E75" s="37">
        <f>SUM(C75:D75)</f>
        <v>6186.5038104145915</v>
      </c>
    </row>
    <row r="76" spans="2:5" ht="45" outlineLevel="1" x14ac:dyDescent="0.25">
      <c r="B76" s="33" t="s">
        <v>82</v>
      </c>
      <c r="C76" s="23">
        <f>0.3*C73</f>
        <v>247.46015241658367</v>
      </c>
      <c r="D76" s="23">
        <f>0.3*D73</f>
        <v>123.73007620829183</v>
      </c>
    </row>
    <row r="77" spans="2:5" outlineLevel="1" x14ac:dyDescent="0.25">
      <c r="B77" s="33" t="s">
        <v>83</v>
      </c>
      <c r="C77" s="1">
        <v>5</v>
      </c>
      <c r="D77" s="1">
        <v>5</v>
      </c>
    </row>
    <row r="78" spans="2:5" outlineLevel="1" x14ac:dyDescent="0.25">
      <c r="B78" s="36" t="s">
        <v>84</v>
      </c>
      <c r="C78" s="40">
        <f>C76*C77</f>
        <v>1237.3007620829183</v>
      </c>
      <c r="D78" s="40">
        <f>D76*D77</f>
        <v>618.65038104145913</v>
      </c>
      <c r="E78" s="37">
        <f>SUM(C78:D78)</f>
        <v>1855.9511431243773</v>
      </c>
    </row>
    <row r="79" spans="2:5" x14ac:dyDescent="0.25">
      <c r="B79" s="4"/>
    </row>
    <row r="80" spans="2:5" x14ac:dyDescent="0.25">
      <c r="B80" s="4" t="s">
        <v>85</v>
      </c>
    </row>
    <row r="81" spans="2:4" outlineLevel="1" x14ac:dyDescent="0.25">
      <c r="B81" s="19" t="s">
        <v>86</v>
      </c>
      <c r="C81" s="34">
        <v>600000</v>
      </c>
    </row>
    <row r="82" spans="2:4" outlineLevel="1" x14ac:dyDescent="0.25">
      <c r="B82" s="19" t="s">
        <v>87</v>
      </c>
      <c r="C82" s="34">
        <v>21</v>
      </c>
    </row>
    <row r="83" spans="2:4" outlineLevel="1" x14ac:dyDescent="0.25">
      <c r="B83" s="19" t="s">
        <v>88</v>
      </c>
      <c r="C83" s="34">
        <v>30</v>
      </c>
      <c r="D83" s="19" t="s">
        <v>26</v>
      </c>
    </row>
    <row r="84" spans="2:4" outlineLevel="1" x14ac:dyDescent="0.25">
      <c r="B84" s="19" t="s">
        <v>89</v>
      </c>
      <c r="C84" s="34">
        <v>10</v>
      </c>
      <c r="D84" s="19" t="s">
        <v>26</v>
      </c>
    </row>
    <row r="85" spans="2:4" outlineLevel="1" x14ac:dyDescent="0.25">
      <c r="B85" s="19" t="s">
        <v>90</v>
      </c>
      <c r="C85" s="34">
        <v>7772</v>
      </c>
      <c r="D85" s="19" t="s">
        <v>91</v>
      </c>
    </row>
    <row r="86" spans="2:4" outlineLevel="1" x14ac:dyDescent="0.25">
      <c r="B86" s="19" t="s">
        <v>92</v>
      </c>
      <c r="C86" s="34">
        <v>20</v>
      </c>
    </row>
    <row r="87" spans="2:4" outlineLevel="1" x14ac:dyDescent="0.25">
      <c r="B87" s="19" t="s">
        <v>93</v>
      </c>
      <c r="C87" s="35">
        <f>C82*0.8</f>
        <v>16.8</v>
      </c>
    </row>
    <row r="88" spans="2:4" outlineLevel="1" x14ac:dyDescent="0.25">
      <c r="B88" s="19" t="s">
        <v>94</v>
      </c>
      <c r="C88" s="35">
        <f>C82-C87</f>
        <v>4.1999999999999993</v>
      </c>
    </row>
    <row r="89" spans="2:4" outlineLevel="1" x14ac:dyDescent="0.25">
      <c r="B89" s="19" t="s">
        <v>95</v>
      </c>
      <c r="C89" s="34">
        <f>C81*C88</f>
        <v>2519999.9999999995</v>
      </c>
    </row>
    <row r="90" spans="2:4" outlineLevel="1" x14ac:dyDescent="0.25">
      <c r="B90" s="19" t="s">
        <v>96</v>
      </c>
      <c r="C90" s="34">
        <f>C89/60</f>
        <v>41999.999999999993</v>
      </c>
    </row>
    <row r="91" spans="2:4" outlineLevel="1" x14ac:dyDescent="0.25">
      <c r="B91" s="19" t="s">
        <v>97</v>
      </c>
      <c r="C91" s="34">
        <f>C90*C85</f>
        <v>326423999.99999994</v>
      </c>
    </row>
    <row r="92" spans="2:4" outlineLevel="1" x14ac:dyDescent="0.25">
      <c r="B92" s="19" t="s">
        <v>98</v>
      </c>
      <c r="C92" s="35">
        <f>C91/C122</f>
        <v>326.42399999999992</v>
      </c>
    </row>
    <row r="93" spans="2:4" x14ac:dyDescent="0.25">
      <c r="B93" s="4"/>
    </row>
    <row r="94" spans="2:4" x14ac:dyDescent="0.25">
      <c r="B94" s="4" t="s">
        <v>99</v>
      </c>
    </row>
    <row r="95" spans="2:4" ht="30" outlineLevel="1" x14ac:dyDescent="0.25">
      <c r="B95" s="4"/>
      <c r="C95" s="38" t="s">
        <v>100</v>
      </c>
      <c r="D95" s="38" t="s">
        <v>101</v>
      </c>
    </row>
    <row r="96" spans="2:4" outlineLevel="1" x14ac:dyDescent="0.25">
      <c r="B96" s="4" t="s">
        <v>102</v>
      </c>
      <c r="C96" s="23">
        <f>SUM(E101:E111)+C114+C117</f>
        <v>20842.116679584375</v>
      </c>
      <c r="D96" s="23">
        <f>SUM(F101:F111)+C115+C118</f>
        <v>86403.413085716253</v>
      </c>
    </row>
    <row r="97" spans="2:7" outlineLevel="1" x14ac:dyDescent="0.25">
      <c r="B97" s="19"/>
    </row>
    <row r="98" spans="2:7" outlineLevel="1" x14ac:dyDescent="0.25">
      <c r="B98" s="19"/>
    </row>
    <row r="99" spans="2:7" outlineLevel="1" x14ac:dyDescent="0.25">
      <c r="B99" s="19" t="s">
        <v>103</v>
      </c>
    </row>
    <row r="100" spans="2:7" ht="45" outlineLevel="1" x14ac:dyDescent="0.25">
      <c r="B100" s="4" t="s">
        <v>104</v>
      </c>
      <c r="C100" s="38" t="s">
        <v>105</v>
      </c>
      <c r="D100" s="38" t="s">
        <v>106</v>
      </c>
      <c r="E100" s="38" t="s">
        <v>100</v>
      </c>
      <c r="F100" s="38" t="s">
        <v>101</v>
      </c>
      <c r="G100" s="38" t="s">
        <v>107</v>
      </c>
    </row>
    <row r="101" spans="2:7" outlineLevel="1" x14ac:dyDescent="0.25">
      <c r="B101" s="19" t="s">
        <v>108</v>
      </c>
      <c r="C101" s="35">
        <v>71.486177999999995</v>
      </c>
      <c r="D101" s="1">
        <v>2026</v>
      </c>
      <c r="E101" s="35">
        <f>(2030-D101)*C101</f>
        <v>285.94471199999998</v>
      </c>
      <c r="F101" s="35">
        <f>C101*15</f>
        <v>1072.2926699999998</v>
      </c>
      <c r="G101" s="19" t="s">
        <v>109</v>
      </c>
    </row>
    <row r="102" spans="2:7" outlineLevel="1" x14ac:dyDescent="0.25">
      <c r="B102" s="19" t="s">
        <v>110</v>
      </c>
      <c r="C102" s="35">
        <v>1.49322651</v>
      </c>
      <c r="D102" s="1">
        <v>2026</v>
      </c>
      <c r="E102" s="35">
        <f>(2030-D102)*C102*295</f>
        <v>1762.0072817999999</v>
      </c>
      <c r="F102" s="35">
        <f>C102*15*295</f>
        <v>6607.5273067500002</v>
      </c>
      <c r="G102" s="19" t="s">
        <v>109</v>
      </c>
    </row>
    <row r="103" spans="2:7" outlineLevel="1" x14ac:dyDescent="0.25">
      <c r="B103" s="4" t="s">
        <v>111</v>
      </c>
      <c r="C103" s="35"/>
      <c r="E103" s="35"/>
      <c r="F103" s="35"/>
    </row>
    <row r="104" spans="2:7" outlineLevel="1" x14ac:dyDescent="0.25">
      <c r="B104" s="19" t="s">
        <v>108</v>
      </c>
      <c r="C104" s="35">
        <v>640.74476549999997</v>
      </c>
      <c r="D104" s="1">
        <v>2026</v>
      </c>
      <c r="E104" s="35">
        <f>(2030-D104)*C104</f>
        <v>2562.9790619999999</v>
      </c>
      <c r="F104" s="35">
        <f>C104*15</f>
        <v>9611.1714824999999</v>
      </c>
      <c r="G104" s="19" t="s">
        <v>109</v>
      </c>
    </row>
    <row r="105" spans="2:7" outlineLevel="1" x14ac:dyDescent="0.25">
      <c r="B105" s="19" t="s">
        <v>110</v>
      </c>
      <c r="C105" s="35">
        <v>3.5216921700000001</v>
      </c>
      <c r="D105" s="1">
        <v>2026</v>
      </c>
      <c r="E105" s="35">
        <f>(2030-D105)*C105*295</f>
        <v>4155.5967606000004</v>
      </c>
      <c r="F105" s="35">
        <f>C105*15*295</f>
        <v>15583.48785225</v>
      </c>
      <c r="G105" s="19" t="s">
        <v>109</v>
      </c>
    </row>
    <row r="106" spans="2:7" outlineLevel="1" x14ac:dyDescent="0.25">
      <c r="B106" s="4" t="s">
        <v>112</v>
      </c>
    </row>
    <row r="107" spans="2:7" outlineLevel="1" x14ac:dyDescent="0.25">
      <c r="B107" s="19" t="s">
        <v>108</v>
      </c>
      <c r="C107" s="1">
        <v>253.83036300000001</v>
      </c>
      <c r="D107" s="1">
        <v>2026</v>
      </c>
      <c r="E107" s="35">
        <f>(2030-D107)*C107</f>
        <v>1015.321452</v>
      </c>
      <c r="F107" s="35">
        <f>C107*15</f>
        <v>3807.4554450000001</v>
      </c>
      <c r="G107" s="19" t="s">
        <v>109</v>
      </c>
    </row>
    <row r="108" spans="2:7" outlineLevel="1" x14ac:dyDescent="0.25">
      <c r="B108" s="19" t="s">
        <v>110</v>
      </c>
      <c r="C108" s="1">
        <v>1.2745949250000002</v>
      </c>
      <c r="D108" s="1">
        <v>2026</v>
      </c>
      <c r="E108" s="35">
        <f>(2030-D108)*C108*295</f>
        <v>1504.0220115000002</v>
      </c>
      <c r="F108" s="35">
        <f>C108*15*295</f>
        <v>5640.0825431250014</v>
      </c>
      <c r="G108" s="19" t="s">
        <v>109</v>
      </c>
    </row>
    <row r="109" spans="2:7" outlineLevel="1" x14ac:dyDescent="0.25">
      <c r="B109" s="4" t="s">
        <v>113</v>
      </c>
    </row>
    <row r="110" spans="2:7" outlineLevel="1" x14ac:dyDescent="0.25">
      <c r="B110" s="19" t="s">
        <v>108</v>
      </c>
      <c r="C110" s="1">
        <v>181.07412600000001</v>
      </c>
      <c r="D110" s="1">
        <v>2026</v>
      </c>
      <c r="E110" s="35">
        <f>(2030-D110)*C110</f>
        <v>724.29650400000003</v>
      </c>
      <c r="F110" s="35">
        <f>C110*15</f>
        <v>2716.1118900000001</v>
      </c>
      <c r="G110" s="19" t="s">
        <v>109</v>
      </c>
    </row>
    <row r="111" spans="2:7" outlineLevel="1" x14ac:dyDescent="0.25">
      <c r="B111" s="19" t="s">
        <v>110</v>
      </c>
      <c r="C111" s="1">
        <v>0.86454730499999999</v>
      </c>
      <c r="D111" s="1">
        <v>2026</v>
      </c>
      <c r="E111" s="35">
        <f>(2030-D111)*C111*295</f>
        <v>1020.1658199</v>
      </c>
      <c r="F111" s="35">
        <f>C111*15*295</f>
        <v>3825.621824625</v>
      </c>
      <c r="G111" s="19" t="s">
        <v>109</v>
      </c>
    </row>
    <row r="112" spans="2:7" outlineLevel="1" x14ac:dyDescent="0.25">
      <c r="B112" s="4"/>
    </row>
    <row r="113" spans="2:3" outlineLevel="1" x14ac:dyDescent="0.25">
      <c r="B113" s="4" t="s">
        <v>114</v>
      </c>
    </row>
    <row r="114" spans="2:3" outlineLevel="1" x14ac:dyDescent="0.25">
      <c r="B114" s="1" t="s">
        <v>115</v>
      </c>
      <c r="C114" s="39">
        <v>3112.9418245500001</v>
      </c>
    </row>
    <row r="115" spans="2:3" outlineLevel="1" x14ac:dyDescent="0.25">
      <c r="B115" s="1" t="s">
        <v>116</v>
      </c>
      <c r="C115" s="39">
        <v>9346.6145640600007</v>
      </c>
    </row>
    <row r="116" spans="2:3" outlineLevel="1" x14ac:dyDescent="0.25">
      <c r="B116" s="4" t="s">
        <v>117</v>
      </c>
    </row>
    <row r="117" spans="2:3" outlineLevel="1" x14ac:dyDescent="0.25">
      <c r="B117" s="1" t="s">
        <v>115</v>
      </c>
      <c r="C117" s="39">
        <v>4698.8412512343748</v>
      </c>
    </row>
    <row r="118" spans="2:3" outlineLevel="1" x14ac:dyDescent="0.25">
      <c r="B118" s="1" t="s">
        <v>116</v>
      </c>
      <c r="C118" s="39">
        <v>28193.047507406249</v>
      </c>
    </row>
    <row r="120" spans="2:3" s="17" customFormat="1" x14ac:dyDescent="0.25">
      <c r="B120" s="18" t="s">
        <v>118</v>
      </c>
    </row>
    <row r="121" spans="2:3" x14ac:dyDescent="0.25">
      <c r="B121" s="21" t="s">
        <v>119</v>
      </c>
      <c r="C121" s="1">
        <v>4.53592E-4</v>
      </c>
    </row>
    <row r="122" spans="2:3" x14ac:dyDescent="0.25">
      <c r="B122" s="21" t="s">
        <v>120</v>
      </c>
      <c r="C122" s="1">
        <f>10^6</f>
        <v>1000000</v>
      </c>
    </row>
  </sheetData>
  <mergeCells count="1">
    <mergeCell ref="B4:C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442bec3-5de2-4848-8046-1525657b99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2DBCC8A5E7ED47A7D5CBE7407F1D48" ma:contentTypeVersion="18" ma:contentTypeDescription="Create a new document." ma:contentTypeScope="" ma:versionID="65aa27224810fee10735f084b5fbcab6">
  <xsd:schema xmlns:xsd="http://www.w3.org/2001/XMLSchema" xmlns:xs="http://www.w3.org/2001/XMLSchema" xmlns:p="http://schemas.microsoft.com/office/2006/metadata/properties" xmlns:ns3="c442bec3-5de2-4848-8046-1525657b99f6" xmlns:ns4="fdc81ec3-f4f6-4609-b50f-04d22d16fef5" targetNamespace="http://schemas.microsoft.com/office/2006/metadata/properties" ma:root="true" ma:fieldsID="a9302791877523864db3f45163f04d5c" ns3:_="" ns4:_="">
    <xsd:import namespace="c442bec3-5de2-4848-8046-1525657b99f6"/>
    <xsd:import namespace="fdc81ec3-f4f6-4609-b50f-04d22d16fef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42bec3-5de2-4848-8046-1525657b99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c81ec3-f4f6-4609-b50f-04d22d16fef5"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7FDD52-B28E-4537-815A-5AC6ABE76F35}">
  <ds:schemaRefs>
    <ds:schemaRef ds:uri="http://schemas.microsoft.com/office/2006/metadata/properties"/>
    <ds:schemaRef ds:uri="http://schemas.microsoft.com/office/infopath/2007/PartnerControls"/>
    <ds:schemaRef ds:uri="c442bec3-5de2-4848-8046-1525657b99f6"/>
  </ds:schemaRefs>
</ds:datastoreItem>
</file>

<file path=customXml/itemProps2.xml><?xml version="1.0" encoding="utf-8"?>
<ds:datastoreItem xmlns:ds="http://schemas.openxmlformats.org/officeDocument/2006/customXml" ds:itemID="{12144531-7861-419D-8460-DCECE2571DC5}">
  <ds:schemaRefs>
    <ds:schemaRef ds:uri="http://schemas.microsoft.com/sharepoint/v3/contenttype/forms"/>
  </ds:schemaRefs>
</ds:datastoreItem>
</file>

<file path=customXml/itemProps3.xml><?xml version="1.0" encoding="utf-8"?>
<ds:datastoreItem xmlns:ds="http://schemas.openxmlformats.org/officeDocument/2006/customXml" ds:itemID="{14EC8F14-B8CA-4D6E-9C5C-1ACDDA3C5E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42bec3-5de2-4848-8046-1525657b99f6"/>
    <ds:schemaRef ds:uri="fdc81ec3-f4f6-4609-b50f-04d22d16fe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f90b97b-be46-4a00-9700-81ce4ff1b7f6}" enabled="0" method="" siteId="{cf90b97b-be46-4a00-9700-81ce4ff1b7f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GHGcalcs_VADEQ</vt:lpstr>
    </vt:vector>
  </TitlesOfParts>
  <Manager/>
  <Company>ICF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Harris, Deb</dc:creator>
  <cp:keywords/>
  <dc:description/>
  <cp:lastModifiedBy>Germ, Aubrey</cp:lastModifiedBy>
  <cp:revision/>
  <dcterms:created xsi:type="dcterms:W3CDTF">2024-03-28T13:46:06Z</dcterms:created>
  <dcterms:modified xsi:type="dcterms:W3CDTF">2024-03-29T23:57:39Z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0x0101002B2DBCC8A5E7ED47A7D5CBE7407F1D48</vt:lpwstr>
  </property>
</Properties>
</file>