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 codeName="ThisWorkbook" defaultThemeVersion="166925"/>
  <xr:revisionPtr revIDLastSave="0" documentId="13_ncr:1_{E994C711-76A3-4D7B-AFC0-36763E8A8418}" xr6:coauthVersionLast="47" xr6:coauthVersionMax="47" xr10:uidLastSave="{00000000-0000-0000-0000-000000000000}"/>
  <bookViews>
    <workbookView xWindow="-23148" yWindow="-1476" windowWidth="23256" windowHeight="12456" tabRatio="979" activeTab="7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Project 1 VDOT" sheetId="32" r:id="rId5"/>
    <sheet name="Project 2 DRPT" sheetId="33" r:id="rId6"/>
    <sheet name="Project 3 VA Energy" sheetId="34" r:id="rId7"/>
    <sheet name="Project 4 VPA" sheetId="40" r:id="rId8"/>
    <sheet name="Project 4a VPA" sheetId="36" state="hidden" r:id="rId9"/>
    <sheet name="Project 4b VPA" sheetId="37" state="hidden" r:id="rId10"/>
    <sheet name="Project 4c VPA" sheetId="35" state="hidden" r:id="rId11"/>
    <sheet name="DEQ Staff Costs" sheetId="38" state="hidden" r:id="rId12"/>
    <sheet name="Travel" sheetId="39" state="hidden" r:id="rId13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'Project 1 VDOT'!#REF!</definedName>
    <definedName name="_xlnm._FilterDatabase" localSheetId="5" hidden="1">'Project 2 DRPT'!#REF!</definedName>
    <definedName name="_xlnm._FilterDatabase" localSheetId="6" hidden="1">'Project 3 VA Energy'!#REF!</definedName>
    <definedName name="_xlnm._FilterDatabase" localSheetId="8" hidden="1">'Project 4a VPA'!#REF!</definedName>
    <definedName name="_xlnm._FilterDatabase" localSheetId="9" hidden="1">'Project 4b VPA'!#REF!</definedName>
    <definedName name="_xlnm._FilterDatabase" localSheetId="10" hidden="1">'Project 4c VPA'!#REF!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27" l="1"/>
  <c r="F55" i="27"/>
  <c r="G55" i="27"/>
  <c r="H55" i="27"/>
  <c r="D55" i="27"/>
  <c r="D50" i="27"/>
  <c r="E50" i="27"/>
  <c r="J50" i="27" s="1"/>
  <c r="F50" i="27"/>
  <c r="G50" i="27"/>
  <c r="H50" i="27"/>
  <c r="D32" i="27"/>
  <c r="E32" i="27"/>
  <c r="F32" i="27"/>
  <c r="G32" i="27"/>
  <c r="H32" i="27"/>
  <c r="D33" i="27"/>
  <c r="E33" i="27"/>
  <c r="F33" i="27"/>
  <c r="G33" i="27"/>
  <c r="H33" i="27"/>
  <c r="D34" i="27"/>
  <c r="E34" i="27"/>
  <c r="F34" i="27"/>
  <c r="G34" i="27"/>
  <c r="H34" i="27"/>
  <c r="D35" i="27"/>
  <c r="J35" i="27" s="1"/>
  <c r="E35" i="27"/>
  <c r="F35" i="27"/>
  <c r="G35" i="27"/>
  <c r="H35" i="27"/>
  <c r="D36" i="27"/>
  <c r="E36" i="27"/>
  <c r="F36" i="27"/>
  <c r="G36" i="27"/>
  <c r="H36" i="27"/>
  <c r="D37" i="27"/>
  <c r="E37" i="27"/>
  <c r="F37" i="27"/>
  <c r="G37" i="27"/>
  <c r="H37" i="27"/>
  <c r="D38" i="27"/>
  <c r="E38" i="27"/>
  <c r="F38" i="27"/>
  <c r="G38" i="27"/>
  <c r="H38" i="27"/>
  <c r="D39" i="27"/>
  <c r="E39" i="27"/>
  <c r="F39" i="27"/>
  <c r="G39" i="27"/>
  <c r="H39" i="27"/>
  <c r="D40" i="27"/>
  <c r="E40" i="27"/>
  <c r="F40" i="27"/>
  <c r="G40" i="27"/>
  <c r="H40" i="27"/>
  <c r="D41" i="27"/>
  <c r="J41" i="27" s="1"/>
  <c r="E41" i="27"/>
  <c r="F41" i="27"/>
  <c r="G41" i="27"/>
  <c r="H41" i="27"/>
  <c r="D42" i="27"/>
  <c r="E42" i="27"/>
  <c r="F42" i="27"/>
  <c r="G42" i="27"/>
  <c r="H42" i="27"/>
  <c r="D43" i="27"/>
  <c r="E43" i="27"/>
  <c r="F43" i="27"/>
  <c r="G43" i="27"/>
  <c r="H43" i="27"/>
  <c r="D44" i="27"/>
  <c r="E44" i="27"/>
  <c r="F44" i="27"/>
  <c r="G44" i="27"/>
  <c r="H44" i="27"/>
  <c r="D46" i="27"/>
  <c r="E46" i="27"/>
  <c r="F46" i="27"/>
  <c r="G46" i="27"/>
  <c r="H46" i="27"/>
  <c r="D47" i="27"/>
  <c r="E47" i="27"/>
  <c r="F47" i="27"/>
  <c r="G47" i="27"/>
  <c r="H47" i="27"/>
  <c r="D48" i="27"/>
  <c r="E48" i="27"/>
  <c r="F48" i="27"/>
  <c r="G48" i="27"/>
  <c r="H48" i="27"/>
  <c r="D49" i="27"/>
  <c r="E49" i="27"/>
  <c r="F49" i="27"/>
  <c r="G49" i="27"/>
  <c r="H49" i="27"/>
  <c r="E31" i="27"/>
  <c r="F31" i="27"/>
  <c r="G31" i="27"/>
  <c r="H31" i="27"/>
  <c r="E26" i="27"/>
  <c r="F26" i="27"/>
  <c r="G26" i="27"/>
  <c r="H26" i="27"/>
  <c r="E23" i="27"/>
  <c r="F23" i="27"/>
  <c r="G23" i="27"/>
  <c r="H23" i="27"/>
  <c r="E20" i="27"/>
  <c r="F20" i="27"/>
  <c r="G20" i="27"/>
  <c r="H20" i="27"/>
  <c r="E17" i="27"/>
  <c r="F17" i="27"/>
  <c r="G17" i="27"/>
  <c r="H17" i="27"/>
  <c r="E14" i="27"/>
  <c r="F14" i="27"/>
  <c r="G14" i="27"/>
  <c r="H14" i="27"/>
  <c r="D9" i="27"/>
  <c r="E9" i="27"/>
  <c r="F9" i="27"/>
  <c r="G9" i="27"/>
  <c r="H9" i="27"/>
  <c r="D10" i="27"/>
  <c r="E10" i="27"/>
  <c r="F10" i="27"/>
  <c r="G10" i="27"/>
  <c r="H10" i="27"/>
  <c r="D11" i="27"/>
  <c r="E11" i="27"/>
  <c r="F11" i="27"/>
  <c r="G11" i="27"/>
  <c r="H11" i="27"/>
  <c r="E8" i="27"/>
  <c r="F8" i="27"/>
  <c r="G8" i="27"/>
  <c r="H8" i="27"/>
  <c r="J36" i="27"/>
  <c r="D31" i="27"/>
  <c r="D26" i="27"/>
  <c r="D23" i="27"/>
  <c r="D20" i="27"/>
  <c r="D17" i="27"/>
  <c r="D14" i="27"/>
  <c r="D8" i="27"/>
  <c r="I51" i="27"/>
  <c r="J50" i="40"/>
  <c r="J49" i="40"/>
  <c r="J48" i="40"/>
  <c r="J47" i="40"/>
  <c r="J46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31" i="40"/>
  <c r="F55" i="40"/>
  <c r="F14" i="40"/>
  <c r="H51" i="40"/>
  <c r="H31" i="40"/>
  <c r="H50" i="40"/>
  <c r="H49" i="40"/>
  <c r="H48" i="40"/>
  <c r="H47" i="40"/>
  <c r="H46" i="40"/>
  <c r="H35" i="40"/>
  <c r="H36" i="40"/>
  <c r="H37" i="40"/>
  <c r="H38" i="40"/>
  <c r="H39" i="40"/>
  <c r="H40" i="40"/>
  <c r="H41" i="40"/>
  <c r="H42" i="40"/>
  <c r="H43" i="40"/>
  <c r="H44" i="40"/>
  <c r="H34" i="40"/>
  <c r="H33" i="40"/>
  <c r="H32" i="40"/>
  <c r="G51" i="40"/>
  <c r="G50" i="40"/>
  <c r="G49" i="40"/>
  <c r="G48" i="40"/>
  <c r="G47" i="40"/>
  <c r="G46" i="40"/>
  <c r="G35" i="40"/>
  <c r="G36" i="40"/>
  <c r="G37" i="40"/>
  <c r="G38" i="40"/>
  <c r="G39" i="40"/>
  <c r="G40" i="40"/>
  <c r="G41" i="40"/>
  <c r="G42" i="40"/>
  <c r="G43" i="40"/>
  <c r="G44" i="40"/>
  <c r="G34" i="40"/>
  <c r="G33" i="40"/>
  <c r="G32" i="40"/>
  <c r="G31" i="40"/>
  <c r="F51" i="40"/>
  <c r="F50" i="40"/>
  <c r="F49" i="40"/>
  <c r="F48" i="40"/>
  <c r="F47" i="40"/>
  <c r="F46" i="40"/>
  <c r="F35" i="40"/>
  <c r="F36" i="40"/>
  <c r="F37" i="40"/>
  <c r="F38" i="40"/>
  <c r="F39" i="40"/>
  <c r="F40" i="40"/>
  <c r="F41" i="40"/>
  <c r="F42" i="40"/>
  <c r="F43" i="40"/>
  <c r="F44" i="40"/>
  <c r="F34" i="40"/>
  <c r="F33" i="40"/>
  <c r="F32" i="40"/>
  <c r="F31" i="40"/>
  <c r="E51" i="40"/>
  <c r="E50" i="40"/>
  <c r="E49" i="40"/>
  <c r="E48" i="40"/>
  <c r="E47" i="40"/>
  <c r="E46" i="40"/>
  <c r="E44" i="40"/>
  <c r="E43" i="40"/>
  <c r="E42" i="40"/>
  <c r="E41" i="40"/>
  <c r="E40" i="40"/>
  <c r="E39" i="40"/>
  <c r="E38" i="40"/>
  <c r="E37" i="40"/>
  <c r="E36" i="40"/>
  <c r="E35" i="40"/>
  <c r="E34" i="40"/>
  <c r="E33" i="40"/>
  <c r="E32" i="40"/>
  <c r="H51" i="27" l="1"/>
  <c r="G51" i="27"/>
  <c r="F51" i="27"/>
  <c r="E51" i="27"/>
  <c r="J42" i="27"/>
  <c r="D51" i="27"/>
  <c r="E31" i="40" l="1"/>
  <c r="D51" i="40"/>
  <c r="D50" i="40"/>
  <c r="D49" i="40"/>
  <c r="D48" i="40"/>
  <c r="D47" i="40"/>
  <c r="D46" i="40"/>
  <c r="D44" i="40"/>
  <c r="D43" i="40"/>
  <c r="D42" i="40"/>
  <c r="D41" i="40"/>
  <c r="D40" i="40"/>
  <c r="D39" i="40"/>
  <c r="D38" i="40"/>
  <c r="D37" i="40"/>
  <c r="D36" i="40"/>
  <c r="D35" i="40"/>
  <c r="D34" i="40"/>
  <c r="D33" i="40"/>
  <c r="D32" i="40"/>
  <c r="D31" i="40"/>
  <c r="H14" i="40"/>
  <c r="H55" i="40"/>
  <c r="H26" i="40"/>
  <c r="H23" i="40"/>
  <c r="H20" i="40"/>
  <c r="H17" i="40"/>
  <c r="H9" i="40"/>
  <c r="H10" i="40"/>
  <c r="H11" i="40"/>
  <c r="H8" i="40"/>
  <c r="H8" i="35"/>
  <c r="H9" i="35"/>
  <c r="H10" i="35"/>
  <c r="H11" i="35"/>
  <c r="G55" i="40"/>
  <c r="G9" i="40"/>
  <c r="G10" i="40"/>
  <c r="G11" i="40"/>
  <c r="G8" i="40"/>
  <c r="G26" i="40"/>
  <c r="G23" i="40"/>
  <c r="G20" i="40"/>
  <c r="G17" i="40"/>
  <c r="F26" i="40"/>
  <c r="F23" i="40"/>
  <c r="F20" i="40"/>
  <c r="F17" i="40"/>
  <c r="F9" i="40"/>
  <c r="F10" i="40"/>
  <c r="F11" i="40"/>
  <c r="F8" i="40"/>
  <c r="E55" i="40"/>
  <c r="E17" i="40"/>
  <c r="E9" i="40"/>
  <c r="E10" i="40"/>
  <c r="E11" i="40"/>
  <c r="E8" i="40"/>
  <c r="D55" i="40"/>
  <c r="D21" i="40" l="1"/>
  <c r="D17" i="40"/>
  <c r="D18" i="40" s="1"/>
  <c r="D9" i="40"/>
  <c r="J9" i="40" s="1"/>
  <c r="D10" i="40"/>
  <c r="J10" i="40" s="1"/>
  <c r="D11" i="40"/>
  <c r="J11" i="40" s="1"/>
  <c r="D8" i="40"/>
  <c r="I58" i="40"/>
  <c r="H27" i="40"/>
  <c r="G27" i="40"/>
  <c r="F27" i="40"/>
  <c r="E27" i="40"/>
  <c r="D27" i="40"/>
  <c r="J26" i="40"/>
  <c r="H24" i="40"/>
  <c r="G24" i="40"/>
  <c r="F24" i="40"/>
  <c r="E24" i="40"/>
  <c r="D24" i="40"/>
  <c r="J23" i="40"/>
  <c r="H21" i="40"/>
  <c r="G21" i="40"/>
  <c r="F21" i="40"/>
  <c r="E21" i="40"/>
  <c r="J20" i="40"/>
  <c r="H18" i="40"/>
  <c r="G18" i="40"/>
  <c r="F18" i="40"/>
  <c r="E18" i="40"/>
  <c r="I15" i="40"/>
  <c r="I12" i="40"/>
  <c r="G12" i="40"/>
  <c r="G14" i="40" s="1"/>
  <c r="G15" i="40" s="1"/>
  <c r="F12" i="40"/>
  <c r="F15" i="40" s="1"/>
  <c r="E12" i="40"/>
  <c r="E14" i="40" s="1"/>
  <c r="E15" i="40" s="1"/>
  <c r="L10" i="39"/>
  <c r="J24" i="40" l="1"/>
  <c r="J27" i="40"/>
  <c r="J18" i="40"/>
  <c r="J21" i="40"/>
  <c r="J17" i="40"/>
  <c r="D12" i="40"/>
  <c r="D14" i="40" s="1"/>
  <c r="E52" i="40"/>
  <c r="F52" i="40"/>
  <c r="G52" i="40"/>
  <c r="E56" i="40"/>
  <c r="F56" i="40"/>
  <c r="G56" i="40"/>
  <c r="J51" i="40"/>
  <c r="K59" i="16"/>
  <c r="K49" i="16"/>
  <c r="K40" i="16"/>
  <c r="K43" i="16" s="1"/>
  <c r="K42" i="16"/>
  <c r="K39" i="16"/>
  <c r="K34" i="16"/>
  <c r="K37" i="16"/>
  <c r="J33" i="16"/>
  <c r="J35" i="16"/>
  <c r="J36" i="16"/>
  <c r="J37" i="16"/>
  <c r="J39" i="16"/>
  <c r="J40" i="16"/>
  <c r="J42" i="16"/>
  <c r="J43" i="16"/>
  <c r="J47" i="16"/>
  <c r="J48" i="16"/>
  <c r="U5" i="38"/>
  <c r="U6" i="38"/>
  <c r="U7" i="38"/>
  <c r="U4" i="38"/>
  <c r="J52" i="38"/>
  <c r="J21" i="16"/>
  <c r="E43" i="16"/>
  <c r="F43" i="16"/>
  <c r="G43" i="16"/>
  <c r="H43" i="16"/>
  <c r="D43" i="16"/>
  <c r="J32" i="27"/>
  <c r="J33" i="27"/>
  <c r="J34" i="27"/>
  <c r="J37" i="27"/>
  <c r="J38" i="27"/>
  <c r="J39" i="27"/>
  <c r="J40" i="27"/>
  <c r="J43" i="27"/>
  <c r="J44" i="27"/>
  <c r="J46" i="27"/>
  <c r="J47" i="27"/>
  <c r="J48" i="27"/>
  <c r="J49" i="27"/>
  <c r="E18" i="27"/>
  <c r="F18" i="27"/>
  <c r="G18" i="27"/>
  <c r="H18" i="27"/>
  <c r="H27" i="27"/>
  <c r="G27" i="27"/>
  <c r="F27" i="27"/>
  <c r="E27" i="27"/>
  <c r="D27" i="27"/>
  <c r="J26" i="27"/>
  <c r="H24" i="27"/>
  <c r="G24" i="27"/>
  <c r="F24" i="27"/>
  <c r="E24" i="27"/>
  <c r="D24" i="27"/>
  <c r="J23" i="27"/>
  <c r="H21" i="27"/>
  <c r="G21" i="27"/>
  <c r="F21" i="27"/>
  <c r="E21" i="27"/>
  <c r="D21" i="27"/>
  <c r="J20" i="27"/>
  <c r="J31" i="27"/>
  <c r="H27" i="16"/>
  <c r="G27" i="16"/>
  <c r="F27" i="16"/>
  <c r="E27" i="16"/>
  <c r="D27" i="16"/>
  <c r="H24" i="16"/>
  <c r="G24" i="16"/>
  <c r="F24" i="16"/>
  <c r="E24" i="16"/>
  <c r="D24" i="16"/>
  <c r="E21" i="16"/>
  <c r="F21" i="16"/>
  <c r="G21" i="16"/>
  <c r="H21" i="16"/>
  <c r="D21" i="16"/>
  <c r="E59" i="16"/>
  <c r="F59" i="16"/>
  <c r="G59" i="16"/>
  <c r="H59" i="16"/>
  <c r="D59" i="16"/>
  <c r="J58" i="16"/>
  <c r="J56" i="16"/>
  <c r="J55" i="16"/>
  <c r="J54" i="16"/>
  <c r="J53" i="16"/>
  <c r="E49" i="16"/>
  <c r="F49" i="16"/>
  <c r="G49" i="16"/>
  <c r="H49" i="16"/>
  <c r="D49" i="16"/>
  <c r="Q30" i="30"/>
  <c r="R29" i="30"/>
  <c r="R28" i="30"/>
  <c r="R27" i="30"/>
  <c r="J23" i="16"/>
  <c r="J26" i="16"/>
  <c r="J20" i="16"/>
  <c r="K4" i="39"/>
  <c r="J5" i="39"/>
  <c r="J4" i="39"/>
  <c r="E34" i="37"/>
  <c r="F34" i="37"/>
  <c r="G34" i="37"/>
  <c r="H34" i="37"/>
  <c r="D34" i="37"/>
  <c r="J31" i="32"/>
  <c r="E42" i="32"/>
  <c r="F42" i="32"/>
  <c r="G42" i="32"/>
  <c r="H42" i="32"/>
  <c r="Q55" i="38"/>
  <c r="P55" i="38"/>
  <c r="O55" i="38"/>
  <c r="G11" i="35"/>
  <c r="F11" i="35"/>
  <c r="E11" i="35"/>
  <c r="D11" i="35"/>
  <c r="J11" i="35" s="1"/>
  <c r="G10" i="35"/>
  <c r="F10" i="35"/>
  <c r="E10" i="35"/>
  <c r="D10" i="35"/>
  <c r="G9" i="35"/>
  <c r="F9" i="35"/>
  <c r="E9" i="35"/>
  <c r="D9" i="35"/>
  <c r="G8" i="35"/>
  <c r="F8" i="35"/>
  <c r="E8" i="35"/>
  <c r="D8" i="35"/>
  <c r="H11" i="37"/>
  <c r="G11" i="37"/>
  <c r="F11" i="37"/>
  <c r="E11" i="37"/>
  <c r="D11" i="37"/>
  <c r="H10" i="37"/>
  <c r="G10" i="37"/>
  <c r="F10" i="37"/>
  <c r="E10" i="37"/>
  <c r="D10" i="37"/>
  <c r="H9" i="37"/>
  <c r="G9" i="37"/>
  <c r="F9" i="37"/>
  <c r="E9" i="37"/>
  <c r="D9" i="37"/>
  <c r="H8" i="37"/>
  <c r="G8" i="37"/>
  <c r="F8" i="37"/>
  <c r="E8" i="37"/>
  <c r="D8" i="37"/>
  <c r="H11" i="36"/>
  <c r="G11" i="36"/>
  <c r="F11" i="36"/>
  <c r="E11" i="36"/>
  <c r="D11" i="36"/>
  <c r="H10" i="36"/>
  <c r="G10" i="36"/>
  <c r="F10" i="36"/>
  <c r="E10" i="36"/>
  <c r="D10" i="36"/>
  <c r="H9" i="36"/>
  <c r="G9" i="36"/>
  <c r="F9" i="36"/>
  <c r="E9" i="36"/>
  <c r="D9" i="36"/>
  <c r="H8" i="36"/>
  <c r="G8" i="36"/>
  <c r="F8" i="36"/>
  <c r="E8" i="36"/>
  <c r="D8" i="36"/>
  <c r="H11" i="34"/>
  <c r="G11" i="34"/>
  <c r="F11" i="34"/>
  <c r="E11" i="34"/>
  <c r="D11" i="34"/>
  <c r="J11" i="34" s="1"/>
  <c r="H10" i="34"/>
  <c r="G10" i="34"/>
  <c r="F10" i="34"/>
  <c r="E10" i="34"/>
  <c r="D10" i="34"/>
  <c r="H9" i="34"/>
  <c r="G9" i="34"/>
  <c r="F9" i="34"/>
  <c r="E9" i="34"/>
  <c r="D9" i="34"/>
  <c r="H8" i="34"/>
  <c r="G8" i="34"/>
  <c r="F8" i="34"/>
  <c r="E8" i="34"/>
  <c r="D8" i="34"/>
  <c r="J8" i="34" s="1"/>
  <c r="H11" i="33"/>
  <c r="G11" i="33"/>
  <c r="F11" i="33"/>
  <c r="E11" i="33"/>
  <c r="D11" i="33"/>
  <c r="H10" i="33"/>
  <c r="G10" i="33"/>
  <c r="F10" i="33"/>
  <c r="E10" i="33"/>
  <c r="D10" i="33"/>
  <c r="H9" i="33"/>
  <c r="G9" i="33"/>
  <c r="F9" i="33"/>
  <c r="E9" i="33"/>
  <c r="D9" i="33"/>
  <c r="H8" i="33"/>
  <c r="G8" i="33"/>
  <c r="F8" i="33"/>
  <c r="E8" i="33"/>
  <c r="D8" i="33"/>
  <c r="J23" i="32"/>
  <c r="H9" i="32"/>
  <c r="H9" i="16" s="1"/>
  <c r="H10" i="32"/>
  <c r="H11" i="32"/>
  <c r="H8" i="32"/>
  <c r="H8" i="16" s="1"/>
  <c r="G9" i="32"/>
  <c r="G10" i="32"/>
  <c r="G10" i="16" s="1"/>
  <c r="G11" i="32"/>
  <c r="G8" i="32"/>
  <c r="F9" i="32"/>
  <c r="F10" i="32"/>
  <c r="F10" i="16" s="1"/>
  <c r="F11" i="32"/>
  <c r="F11" i="16" s="1"/>
  <c r="F8" i="32"/>
  <c r="F8" i="16" s="1"/>
  <c r="E9" i="32"/>
  <c r="E10" i="32"/>
  <c r="E10" i="16" s="1"/>
  <c r="E11" i="32"/>
  <c r="E8" i="32"/>
  <c r="E8" i="16" s="1"/>
  <c r="D9" i="32"/>
  <c r="D9" i="16" s="1"/>
  <c r="D10" i="32"/>
  <c r="D10" i="16" s="1"/>
  <c r="D11" i="32"/>
  <c r="D11" i="16" s="1"/>
  <c r="D8" i="32"/>
  <c r="D12" i="32" s="1"/>
  <c r="D46" i="32" s="1"/>
  <c r="R52" i="38"/>
  <c r="P52" i="38"/>
  <c r="Q52" i="38"/>
  <c r="O52" i="38"/>
  <c r="K47" i="38"/>
  <c r="K7" i="38"/>
  <c r="I7" i="38"/>
  <c r="J19" i="38"/>
  <c r="J27" i="27" l="1"/>
  <c r="J24" i="27"/>
  <c r="F58" i="40"/>
  <c r="E58" i="40"/>
  <c r="D56" i="40"/>
  <c r="D15" i="40"/>
  <c r="D52" i="40" s="1"/>
  <c r="G58" i="40"/>
  <c r="F9" i="16"/>
  <c r="F12" i="16" s="1"/>
  <c r="J10" i="37"/>
  <c r="E11" i="16"/>
  <c r="G11" i="16"/>
  <c r="J8" i="33"/>
  <c r="H11" i="16"/>
  <c r="J9" i="34"/>
  <c r="E9" i="16"/>
  <c r="J9" i="16" s="1"/>
  <c r="G9" i="16"/>
  <c r="J10" i="33"/>
  <c r="J10" i="34"/>
  <c r="J11" i="37"/>
  <c r="H10" i="16"/>
  <c r="H12" i="16" s="1"/>
  <c r="J9" i="33"/>
  <c r="J8" i="37"/>
  <c r="J9" i="35"/>
  <c r="J10" i="35"/>
  <c r="G8" i="16"/>
  <c r="J11" i="33"/>
  <c r="J11" i="36"/>
  <c r="J9" i="37"/>
  <c r="J51" i="27"/>
  <c r="J8" i="36"/>
  <c r="J10" i="36"/>
  <c r="J9" i="36"/>
  <c r="J17" i="27"/>
  <c r="D18" i="27"/>
  <c r="H12" i="32"/>
  <c r="H46" i="32" s="1"/>
  <c r="G12" i="32"/>
  <c r="G46" i="32" s="1"/>
  <c r="F12" i="32"/>
  <c r="F46" i="32" s="1"/>
  <c r="D8" i="16"/>
  <c r="E12" i="32"/>
  <c r="J10" i="16"/>
  <c r="J11" i="16"/>
  <c r="J9" i="27" l="1"/>
  <c r="D58" i="40"/>
  <c r="J8" i="16"/>
  <c r="J12" i="16" s="1"/>
  <c r="D12" i="16"/>
  <c r="E12" i="16"/>
  <c r="G12" i="16"/>
  <c r="J11" i="27"/>
  <c r="J10" i="27"/>
  <c r="L24" i="30"/>
  <c r="J20" i="35"/>
  <c r="J26" i="35"/>
  <c r="J32" i="35"/>
  <c r="J33" i="35"/>
  <c r="J34" i="35"/>
  <c r="J35" i="35"/>
  <c r="J36" i="35"/>
  <c r="J37" i="35"/>
  <c r="J38" i="35"/>
  <c r="J39" i="35"/>
  <c r="J40" i="35"/>
  <c r="J41" i="35"/>
  <c r="J42" i="35"/>
  <c r="J43" i="35"/>
  <c r="J31" i="35"/>
  <c r="E44" i="35"/>
  <c r="F44" i="35"/>
  <c r="G44" i="35"/>
  <c r="H44" i="35"/>
  <c r="D44" i="35"/>
  <c r="J23" i="35" l="1"/>
  <c r="J26" i="37"/>
  <c r="J23" i="37"/>
  <c r="J23" i="36"/>
  <c r="J26" i="36"/>
  <c r="J32" i="37"/>
  <c r="J33" i="37"/>
  <c r="J31" i="37"/>
  <c r="J26" i="33"/>
  <c r="J20" i="34"/>
  <c r="J20" i="36"/>
  <c r="J20" i="33"/>
  <c r="E18" i="35"/>
  <c r="F18" i="35"/>
  <c r="G18" i="35"/>
  <c r="H18" i="35"/>
  <c r="D18" i="35"/>
  <c r="J17" i="35"/>
  <c r="E18" i="37"/>
  <c r="F18" i="37"/>
  <c r="G18" i="37"/>
  <c r="H18" i="37"/>
  <c r="D18" i="37"/>
  <c r="J17" i="37"/>
  <c r="J23" i="34"/>
  <c r="J26" i="34"/>
  <c r="J17" i="36"/>
  <c r="J23" i="33"/>
  <c r="J32" i="34"/>
  <c r="J33" i="34"/>
  <c r="J34" i="34"/>
  <c r="J35" i="34"/>
  <c r="J31" i="34"/>
  <c r="E36" i="34"/>
  <c r="F36" i="34"/>
  <c r="G36" i="34"/>
  <c r="H36" i="34"/>
  <c r="D36" i="34"/>
  <c r="J17" i="34"/>
  <c r="J17" i="33"/>
  <c r="J17" i="32"/>
  <c r="E18" i="34"/>
  <c r="F18" i="34"/>
  <c r="G18" i="34"/>
  <c r="H18" i="34"/>
  <c r="D18" i="34"/>
  <c r="E18" i="33"/>
  <c r="F18" i="33"/>
  <c r="G18" i="33"/>
  <c r="H18" i="33"/>
  <c r="D18" i="33"/>
  <c r="E33" i="33"/>
  <c r="F33" i="33"/>
  <c r="G33" i="33"/>
  <c r="H33" i="33"/>
  <c r="D33" i="33"/>
  <c r="J32" i="33"/>
  <c r="J31" i="33"/>
  <c r="J32" i="32"/>
  <c r="J34" i="32"/>
  <c r="J35" i="32"/>
  <c r="J36" i="32"/>
  <c r="J38" i="32"/>
  <c r="J39" i="32"/>
  <c r="J41" i="32"/>
  <c r="J9" i="32"/>
  <c r="J10" i="32"/>
  <c r="J11" i="32"/>
  <c r="J8" i="32"/>
  <c r="J26" i="32"/>
  <c r="J20" i="32"/>
  <c r="D42" i="32"/>
  <c r="J12" i="32" l="1"/>
  <c r="E9" i="39" l="1"/>
  <c r="G9" i="39" s="1"/>
  <c r="G8" i="39"/>
  <c r="G7" i="39"/>
  <c r="E4" i="39"/>
  <c r="G4" i="39" s="1"/>
  <c r="G3" i="39"/>
  <c r="G2" i="39"/>
  <c r="H48" i="38"/>
  <c r="K43" i="38"/>
  <c r="J43" i="38"/>
  <c r="H38" i="38"/>
  <c r="K33" i="38"/>
  <c r="J33" i="38"/>
  <c r="H28" i="38"/>
  <c r="K23" i="38"/>
  <c r="J23" i="38"/>
  <c r="H18" i="38"/>
  <c r="K13" i="38"/>
  <c r="J13" i="38"/>
  <c r="H8" i="38"/>
  <c r="D7" i="38"/>
  <c r="G7" i="38" s="1"/>
  <c r="G17" i="38" s="1"/>
  <c r="D6" i="38"/>
  <c r="G6" i="38" s="1"/>
  <c r="D5" i="38"/>
  <c r="G5" i="38" s="1"/>
  <c r="D4" i="38"/>
  <c r="G4" i="38" s="1"/>
  <c r="K3" i="38"/>
  <c r="J3" i="38"/>
  <c r="J33" i="36"/>
  <c r="J32" i="36"/>
  <c r="J31" i="36"/>
  <c r="G5" i="39" l="1"/>
  <c r="I5" i="39" s="1"/>
  <c r="G13" i="39"/>
  <c r="G10" i="39"/>
  <c r="H51" i="38"/>
  <c r="G14" i="38"/>
  <c r="I4" i="38"/>
  <c r="G15" i="38"/>
  <c r="I5" i="38"/>
  <c r="I17" i="38"/>
  <c r="G27" i="38"/>
  <c r="I6" i="38"/>
  <c r="G16" i="38"/>
  <c r="I41" i="37"/>
  <c r="H27" i="37"/>
  <c r="G27" i="37"/>
  <c r="F27" i="37"/>
  <c r="E27" i="37"/>
  <c r="D27" i="37"/>
  <c r="H24" i="37"/>
  <c r="G24" i="37"/>
  <c r="F24" i="37"/>
  <c r="E24" i="37"/>
  <c r="D24" i="37"/>
  <c r="H21" i="37"/>
  <c r="G21" i="37"/>
  <c r="F21" i="37"/>
  <c r="E21" i="37"/>
  <c r="D21" i="37"/>
  <c r="I15" i="37"/>
  <c r="J12" i="37"/>
  <c r="I12" i="37"/>
  <c r="H12" i="37"/>
  <c r="G12" i="37"/>
  <c r="F12" i="37"/>
  <c r="E12" i="37"/>
  <c r="D12" i="37"/>
  <c r="I41" i="36"/>
  <c r="H34" i="36"/>
  <c r="G34" i="36"/>
  <c r="F34" i="36"/>
  <c r="E34" i="36"/>
  <c r="D34" i="36"/>
  <c r="H27" i="36"/>
  <c r="G27" i="36"/>
  <c r="F27" i="36"/>
  <c r="E27" i="36"/>
  <c r="D27" i="36"/>
  <c r="H24" i="36"/>
  <c r="G24" i="36"/>
  <c r="F24" i="36"/>
  <c r="E24" i="36"/>
  <c r="D24" i="36"/>
  <c r="H21" i="36"/>
  <c r="G21" i="36"/>
  <c r="F21" i="36"/>
  <c r="E21" i="36"/>
  <c r="D21" i="36"/>
  <c r="H18" i="36"/>
  <c r="G18" i="36"/>
  <c r="F18" i="36"/>
  <c r="E18" i="36"/>
  <c r="D18" i="36"/>
  <c r="I15" i="36"/>
  <c r="J12" i="36"/>
  <c r="I12" i="36"/>
  <c r="H12" i="36"/>
  <c r="G12" i="36"/>
  <c r="F12" i="36"/>
  <c r="E12" i="36"/>
  <c r="D12" i="36"/>
  <c r="F21" i="35"/>
  <c r="D21" i="35"/>
  <c r="E21" i="35"/>
  <c r="H60" i="16"/>
  <c r="G60" i="16"/>
  <c r="I51" i="35"/>
  <c r="H27" i="35"/>
  <c r="G27" i="35"/>
  <c r="F27" i="35"/>
  <c r="E27" i="35"/>
  <c r="D27" i="35"/>
  <c r="H24" i="35"/>
  <c r="G24" i="35"/>
  <c r="F24" i="35"/>
  <c r="E24" i="35"/>
  <c r="D24" i="35"/>
  <c r="H21" i="35"/>
  <c r="G21" i="35"/>
  <c r="I15" i="35"/>
  <c r="I12" i="35"/>
  <c r="G12" i="35"/>
  <c r="F12" i="35"/>
  <c r="E12" i="35"/>
  <c r="D12" i="35"/>
  <c r="I43" i="34"/>
  <c r="H27" i="34"/>
  <c r="G27" i="34"/>
  <c r="F27" i="34"/>
  <c r="E27" i="34"/>
  <c r="D27" i="34"/>
  <c r="H24" i="34"/>
  <c r="G24" i="34"/>
  <c r="F24" i="34"/>
  <c r="E24" i="34"/>
  <c r="D24" i="34"/>
  <c r="H21" i="34"/>
  <c r="G21" i="34"/>
  <c r="F21" i="34"/>
  <c r="E21" i="34"/>
  <c r="D21" i="34"/>
  <c r="J18" i="34"/>
  <c r="I15" i="34"/>
  <c r="I12" i="34"/>
  <c r="H12" i="34"/>
  <c r="G12" i="34"/>
  <c r="F12" i="34"/>
  <c r="E12" i="34"/>
  <c r="D12" i="34"/>
  <c r="I40" i="33"/>
  <c r="H27" i="33"/>
  <c r="G27" i="33"/>
  <c r="F27" i="33"/>
  <c r="E27" i="33"/>
  <c r="D27" i="33"/>
  <c r="H24" i="33"/>
  <c r="G24" i="33"/>
  <c r="F24" i="33"/>
  <c r="E24" i="33"/>
  <c r="D24" i="33"/>
  <c r="H21" i="33"/>
  <c r="G21" i="33"/>
  <c r="F21" i="33"/>
  <c r="E21" i="33"/>
  <c r="D21" i="33"/>
  <c r="I15" i="33"/>
  <c r="I12" i="33"/>
  <c r="H12" i="33"/>
  <c r="G12" i="33"/>
  <c r="F12" i="33"/>
  <c r="E12" i="33"/>
  <c r="D12" i="33"/>
  <c r="J12" i="33"/>
  <c r="H27" i="32"/>
  <c r="G27" i="32"/>
  <c r="F27" i="32"/>
  <c r="E27" i="32"/>
  <c r="D27" i="32"/>
  <c r="H24" i="32"/>
  <c r="G24" i="32"/>
  <c r="F24" i="32"/>
  <c r="E24" i="32"/>
  <c r="D24" i="32"/>
  <c r="H21" i="32"/>
  <c r="G21" i="32"/>
  <c r="F21" i="32"/>
  <c r="E21" i="32"/>
  <c r="D21" i="32"/>
  <c r="H18" i="32"/>
  <c r="H17" i="16" s="1"/>
  <c r="H18" i="16" s="1"/>
  <c r="G18" i="32"/>
  <c r="G17" i="16" s="1"/>
  <c r="G18" i="16" s="1"/>
  <c r="F18" i="32"/>
  <c r="F17" i="16" s="1"/>
  <c r="F18" i="16" s="1"/>
  <c r="E18" i="32"/>
  <c r="E17" i="16" s="1"/>
  <c r="E18" i="16" s="1"/>
  <c r="D18" i="32"/>
  <c r="I58" i="27"/>
  <c r="I15" i="27"/>
  <c r="I12" i="27"/>
  <c r="G12" i="27"/>
  <c r="F12" i="27"/>
  <c r="E12" i="27"/>
  <c r="D12" i="27"/>
  <c r="J10" i="39" l="1"/>
  <c r="I10" i="39"/>
  <c r="H14" i="33"/>
  <c r="H15" i="33" s="1"/>
  <c r="H37" i="33"/>
  <c r="D40" i="34"/>
  <c r="D14" i="34"/>
  <c r="E40" i="34"/>
  <c r="E14" i="34"/>
  <c r="E15" i="34" s="1"/>
  <c r="E37" i="34" s="1"/>
  <c r="D14" i="35"/>
  <c r="D48" i="35"/>
  <c r="F40" i="34"/>
  <c r="F14" i="34"/>
  <c r="F15" i="34" s="1"/>
  <c r="E14" i="35"/>
  <c r="E48" i="35"/>
  <c r="D37" i="33"/>
  <c r="D14" i="33"/>
  <c r="J14" i="33" s="1"/>
  <c r="J15" i="33" s="1"/>
  <c r="G14" i="34"/>
  <c r="G15" i="34" s="1"/>
  <c r="G37" i="34" s="1"/>
  <c r="G40" i="34"/>
  <c r="F14" i="35"/>
  <c r="F48" i="35"/>
  <c r="G14" i="35"/>
  <c r="G48" i="35"/>
  <c r="F15" i="33"/>
  <c r="F34" i="33" s="1"/>
  <c r="F37" i="33"/>
  <c r="F14" i="33"/>
  <c r="E37" i="33"/>
  <c r="E38" i="33" s="1"/>
  <c r="E14" i="33"/>
  <c r="E15" i="33" s="1"/>
  <c r="E34" i="33" s="1"/>
  <c r="E40" i="33" s="1"/>
  <c r="H15" i="34"/>
  <c r="H37" i="34" s="1"/>
  <c r="H40" i="34"/>
  <c r="H14" i="34"/>
  <c r="G14" i="33"/>
  <c r="G15" i="33" s="1"/>
  <c r="G34" i="33" s="1"/>
  <c r="G37" i="33"/>
  <c r="E38" i="37"/>
  <c r="E39" i="37" s="1"/>
  <c r="E14" i="37"/>
  <c r="E15" i="37" s="1"/>
  <c r="F38" i="37"/>
  <c r="F39" i="37" s="1"/>
  <c r="F14" i="37"/>
  <c r="F15" i="37" s="1"/>
  <c r="G14" i="37"/>
  <c r="G15" i="37" s="1"/>
  <c r="G38" i="37"/>
  <c r="G39" i="37" s="1"/>
  <c r="H38" i="37"/>
  <c r="H39" i="37" s="1"/>
  <c r="H14" i="37"/>
  <c r="H15" i="37" s="1"/>
  <c r="H35" i="37" s="1"/>
  <c r="D14" i="37"/>
  <c r="D38" i="37"/>
  <c r="F38" i="36"/>
  <c r="F14" i="36"/>
  <c r="F15" i="36" s="1"/>
  <c r="G38" i="36"/>
  <c r="G39" i="36" s="1"/>
  <c r="G14" i="36"/>
  <c r="G15" i="36" s="1"/>
  <c r="H38" i="36"/>
  <c r="H39" i="36" s="1"/>
  <c r="H14" i="36"/>
  <c r="H15" i="36" s="1"/>
  <c r="D38" i="36"/>
  <c r="D39" i="36" s="1"/>
  <c r="D14" i="36"/>
  <c r="E14" i="36"/>
  <c r="E15" i="36" s="1"/>
  <c r="E38" i="36"/>
  <c r="E39" i="36" s="1"/>
  <c r="D17" i="16"/>
  <c r="E9" i="30"/>
  <c r="H13" i="30"/>
  <c r="J49" i="16"/>
  <c r="H47" i="32"/>
  <c r="H14" i="32"/>
  <c r="H15" i="32" s="1"/>
  <c r="E14" i="32"/>
  <c r="E15" i="32" s="1"/>
  <c r="E46" i="32"/>
  <c r="F14" i="32"/>
  <c r="F15" i="32" s="1"/>
  <c r="F47" i="32"/>
  <c r="G47" i="32"/>
  <c r="G14" i="32"/>
  <c r="G15" i="32" s="1"/>
  <c r="D14" i="32"/>
  <c r="J18" i="37"/>
  <c r="J24" i="34"/>
  <c r="J21" i="34"/>
  <c r="J12" i="34"/>
  <c r="J18" i="33"/>
  <c r="J27" i="33"/>
  <c r="J24" i="33"/>
  <c r="G37" i="38"/>
  <c r="I27" i="38"/>
  <c r="K17" i="38"/>
  <c r="J17" i="38"/>
  <c r="L17" i="38" s="1"/>
  <c r="G26" i="38"/>
  <c r="I16" i="38"/>
  <c r="K5" i="38"/>
  <c r="J5" i="38"/>
  <c r="G25" i="38"/>
  <c r="I15" i="38"/>
  <c r="J6" i="38"/>
  <c r="K6" i="38"/>
  <c r="L6" i="38" s="1"/>
  <c r="J4" i="38"/>
  <c r="K4" i="38"/>
  <c r="I8" i="38"/>
  <c r="J7" i="38"/>
  <c r="L7" i="38" s="1"/>
  <c r="G24" i="38"/>
  <c r="I14" i="38"/>
  <c r="J18" i="32"/>
  <c r="J24" i="37"/>
  <c r="D12" i="30"/>
  <c r="F35" i="37"/>
  <c r="G35" i="37"/>
  <c r="J27" i="37"/>
  <c r="J34" i="37"/>
  <c r="E35" i="37"/>
  <c r="J21" i="37"/>
  <c r="J27" i="36"/>
  <c r="J24" i="36"/>
  <c r="J34" i="36"/>
  <c r="J18" i="36"/>
  <c r="J21" i="36"/>
  <c r="F35" i="36"/>
  <c r="D39" i="37"/>
  <c r="E35" i="36"/>
  <c r="H11" i="30"/>
  <c r="H12" i="30"/>
  <c r="G13" i="30"/>
  <c r="G11" i="30"/>
  <c r="G7" i="30"/>
  <c r="J18" i="27"/>
  <c r="F11" i="30"/>
  <c r="G9" i="30"/>
  <c r="H9" i="30"/>
  <c r="E11" i="30"/>
  <c r="G12" i="30"/>
  <c r="F9" i="30"/>
  <c r="D11" i="30"/>
  <c r="J27" i="16"/>
  <c r="J24" i="16"/>
  <c r="J24" i="35"/>
  <c r="J21" i="35"/>
  <c r="J27" i="35"/>
  <c r="J18" i="35"/>
  <c r="J27" i="34"/>
  <c r="H41" i="34"/>
  <c r="G41" i="34"/>
  <c r="J21" i="33"/>
  <c r="H34" i="33"/>
  <c r="J27" i="32"/>
  <c r="J42" i="32"/>
  <c r="J21" i="32"/>
  <c r="E15" i="35"/>
  <c r="E49" i="35" s="1"/>
  <c r="F15" i="35"/>
  <c r="F49" i="35" s="1"/>
  <c r="G15" i="35"/>
  <c r="J44" i="35"/>
  <c r="D15" i="34"/>
  <c r="J36" i="34"/>
  <c r="D15" i="33"/>
  <c r="D34" i="33" s="1"/>
  <c r="J33" i="33"/>
  <c r="E43" i="32"/>
  <c r="J24" i="32"/>
  <c r="F41" i="34" l="1"/>
  <c r="F37" i="34"/>
  <c r="F43" i="34" s="1"/>
  <c r="J37" i="33"/>
  <c r="D64" i="16"/>
  <c r="D65" i="16" s="1"/>
  <c r="D38" i="33"/>
  <c r="G14" i="16"/>
  <c r="G15" i="16" s="1"/>
  <c r="G61" i="16" s="1"/>
  <c r="G67" i="16" s="1"/>
  <c r="G43" i="32"/>
  <c r="G49" i="32" s="1"/>
  <c r="G64" i="16"/>
  <c r="G65" i="16" s="1"/>
  <c r="G38" i="33"/>
  <c r="G40" i="33" s="1"/>
  <c r="J14" i="34"/>
  <c r="E14" i="16"/>
  <c r="E15" i="16" s="1"/>
  <c r="J40" i="34"/>
  <c r="E15" i="27"/>
  <c r="H64" i="16"/>
  <c r="H65" i="16" s="1"/>
  <c r="H38" i="33"/>
  <c r="H40" i="33" s="1"/>
  <c r="H14" i="16"/>
  <c r="H15" i="16" s="1"/>
  <c r="H61" i="16" s="1"/>
  <c r="H67" i="16" s="1"/>
  <c r="G49" i="35"/>
  <c r="G56" i="27" s="1"/>
  <c r="G16" i="30" s="1"/>
  <c r="F64" i="16"/>
  <c r="F65" i="16" s="1"/>
  <c r="F38" i="33"/>
  <c r="F40" i="33" s="1"/>
  <c r="F41" i="37"/>
  <c r="E56" i="27"/>
  <c r="J38" i="37"/>
  <c r="J14" i="37"/>
  <c r="J15" i="37" s="1"/>
  <c r="D15" i="37"/>
  <c r="D35" i="37" s="1"/>
  <c r="J35" i="37" s="1"/>
  <c r="H35" i="36"/>
  <c r="H41" i="36" s="1"/>
  <c r="G35" i="36"/>
  <c r="G41" i="36" s="1"/>
  <c r="G15" i="27"/>
  <c r="F39" i="36"/>
  <c r="F56" i="27" s="1"/>
  <c r="F16" i="30" s="1"/>
  <c r="F15" i="27"/>
  <c r="J14" i="36"/>
  <c r="J15" i="36" s="1"/>
  <c r="D15" i="36"/>
  <c r="J38" i="36"/>
  <c r="E47" i="32"/>
  <c r="E64" i="16"/>
  <c r="E49" i="32"/>
  <c r="J17" i="16"/>
  <c r="J18" i="16" s="1"/>
  <c r="D18" i="16"/>
  <c r="D9" i="30" s="1"/>
  <c r="J9" i="30" s="1"/>
  <c r="H43" i="32"/>
  <c r="H49" i="32" s="1"/>
  <c r="F43" i="32"/>
  <c r="F49" i="32" s="1"/>
  <c r="F14" i="16"/>
  <c r="F15" i="16" s="1"/>
  <c r="E12" i="30"/>
  <c r="E60" i="16"/>
  <c r="F7" i="30"/>
  <c r="F60" i="16"/>
  <c r="F61" i="16" s="1"/>
  <c r="F67" i="16" s="1"/>
  <c r="D7" i="30"/>
  <c r="E7" i="30"/>
  <c r="L23" i="30"/>
  <c r="L25" i="30" s="1"/>
  <c r="M54" i="38"/>
  <c r="M52" i="38" s="1"/>
  <c r="D47" i="32"/>
  <c r="J47" i="32" s="1"/>
  <c r="J46" i="32"/>
  <c r="J14" i="32"/>
  <c r="J15" i="32" s="1"/>
  <c r="D15" i="32"/>
  <c r="L5" i="38"/>
  <c r="J8" i="38"/>
  <c r="J9" i="38" s="1"/>
  <c r="H41" i="37"/>
  <c r="H43" i="34"/>
  <c r="G43" i="34"/>
  <c r="D37" i="34"/>
  <c r="J15" i="34"/>
  <c r="J59" i="16"/>
  <c r="J32" i="16"/>
  <c r="K16" i="38"/>
  <c r="J16" i="38"/>
  <c r="G34" i="38"/>
  <c r="I24" i="38"/>
  <c r="I18" i="38"/>
  <c r="K14" i="38"/>
  <c r="J14" i="38"/>
  <c r="G36" i="38"/>
  <c r="I26" i="38"/>
  <c r="G35" i="38"/>
  <c r="I25" i="38"/>
  <c r="K8" i="38"/>
  <c r="K27" i="38"/>
  <c r="J27" i="38"/>
  <c r="L27" i="38" s="1"/>
  <c r="K15" i="38"/>
  <c r="J15" i="38"/>
  <c r="L4" i="38"/>
  <c r="G47" i="38"/>
  <c r="I47" i="38" s="1"/>
  <c r="I37" i="38"/>
  <c r="E41" i="37"/>
  <c r="F12" i="30"/>
  <c r="G41" i="37"/>
  <c r="J39" i="37"/>
  <c r="E41" i="36"/>
  <c r="E45" i="35"/>
  <c r="E51" i="35" s="1"/>
  <c r="G45" i="35"/>
  <c r="G51" i="35" s="1"/>
  <c r="F45" i="35"/>
  <c r="F51" i="35" s="1"/>
  <c r="D41" i="34"/>
  <c r="E41" i="34"/>
  <c r="E43" i="34" s="1"/>
  <c r="D15" i="35"/>
  <c r="J11" i="30"/>
  <c r="J34" i="33"/>
  <c r="D40" i="33"/>
  <c r="E52" i="27" l="1"/>
  <c r="F52" i="27"/>
  <c r="G52" i="27"/>
  <c r="E8" i="30"/>
  <c r="J38" i="33"/>
  <c r="J40" i="33"/>
  <c r="D24" i="30" s="1"/>
  <c r="E13" i="30"/>
  <c r="E61" i="16"/>
  <c r="E67" i="16" s="1"/>
  <c r="D41" i="37"/>
  <c r="F8" i="30"/>
  <c r="D35" i="36"/>
  <c r="G8" i="30"/>
  <c r="F41" i="36"/>
  <c r="J39" i="36"/>
  <c r="F13" i="30"/>
  <c r="D60" i="16"/>
  <c r="J64" i="16"/>
  <c r="J65" i="16" s="1"/>
  <c r="E65" i="16"/>
  <c r="E16" i="30" s="1"/>
  <c r="D43" i="32"/>
  <c r="J43" i="32" s="1"/>
  <c r="J49" i="32" s="1"/>
  <c r="D23" i="30" s="1"/>
  <c r="D14" i="16"/>
  <c r="J14" i="16" s="1"/>
  <c r="J15" i="16" s="1"/>
  <c r="L67" i="16" s="1"/>
  <c r="L8" i="38"/>
  <c r="L16" i="38"/>
  <c r="J41" i="37"/>
  <c r="D43" i="34"/>
  <c r="J37" i="34"/>
  <c r="K18" i="38"/>
  <c r="L15" i="38"/>
  <c r="K25" i="38"/>
  <c r="J25" i="38"/>
  <c r="L25" i="38" s="1"/>
  <c r="J47" i="38"/>
  <c r="G45" i="38"/>
  <c r="I45" i="38" s="1"/>
  <c r="I35" i="38"/>
  <c r="I28" i="38"/>
  <c r="K24" i="38"/>
  <c r="J24" i="38"/>
  <c r="K26" i="38"/>
  <c r="J26" i="38"/>
  <c r="L26" i="38" s="1"/>
  <c r="I34" i="38"/>
  <c r="G44" i="38"/>
  <c r="I44" i="38" s="1"/>
  <c r="G46" i="38"/>
  <c r="I46" i="38" s="1"/>
  <c r="I36" i="38"/>
  <c r="L14" i="38"/>
  <c r="K37" i="38"/>
  <c r="J37" i="38"/>
  <c r="J18" i="38"/>
  <c r="J12" i="30"/>
  <c r="J41" i="34"/>
  <c r="D45" i="35"/>
  <c r="D49" i="32" l="1"/>
  <c r="D15" i="27"/>
  <c r="D41" i="36"/>
  <c r="J35" i="36"/>
  <c r="J41" i="36" s="1"/>
  <c r="D15" i="16"/>
  <c r="D61" i="16" s="1"/>
  <c r="J60" i="16"/>
  <c r="D13" i="30"/>
  <c r="J13" i="30" s="1"/>
  <c r="L47" i="38"/>
  <c r="L18" i="38"/>
  <c r="J43" i="34"/>
  <c r="D25" i="30" s="1"/>
  <c r="L37" i="38"/>
  <c r="J28" i="38"/>
  <c r="J29" i="38" s="1"/>
  <c r="K28" i="38"/>
  <c r="L24" i="38"/>
  <c r="L28" i="38" s="1"/>
  <c r="K36" i="38"/>
  <c r="J36" i="38"/>
  <c r="L36" i="38" s="1"/>
  <c r="K44" i="38"/>
  <c r="I48" i="38"/>
  <c r="J44" i="38"/>
  <c r="J45" i="38"/>
  <c r="K45" i="38"/>
  <c r="K46" i="38"/>
  <c r="J46" i="38"/>
  <c r="J34" i="38"/>
  <c r="I38" i="38"/>
  <c r="K34" i="38"/>
  <c r="K35" i="38"/>
  <c r="J35" i="38"/>
  <c r="D49" i="35"/>
  <c r="J61" i="16" l="1"/>
  <c r="D67" i="16"/>
  <c r="J67" i="16" s="1"/>
  <c r="D56" i="27"/>
  <c r="D8" i="30"/>
  <c r="L35" i="38"/>
  <c r="L46" i="38"/>
  <c r="I51" i="38"/>
  <c r="L45" i="38"/>
  <c r="K38" i="38"/>
  <c r="L44" i="38"/>
  <c r="L34" i="38"/>
  <c r="L38" i="38" s="1"/>
  <c r="J38" i="38"/>
  <c r="J39" i="38" s="1"/>
  <c r="J48" i="38"/>
  <c r="J49" i="38" s="1"/>
  <c r="K48" i="38"/>
  <c r="D51" i="35"/>
  <c r="D16" i="30" l="1"/>
  <c r="K51" i="38"/>
  <c r="L48" i="38"/>
  <c r="L51" i="38" s="1"/>
  <c r="J51" i="38"/>
  <c r="L52" i="38" l="1"/>
  <c r="F58" i="27" l="1"/>
  <c r="G58" i="27"/>
  <c r="H10" i="30"/>
  <c r="E10" i="30"/>
  <c r="E14" i="30"/>
  <c r="E18" i="30" s="1"/>
  <c r="G10" i="30"/>
  <c r="G14" i="30" s="1"/>
  <c r="G18" i="30" s="1"/>
  <c r="F10" i="30"/>
  <c r="F14" i="30" s="1"/>
  <c r="F18" i="30" s="1"/>
  <c r="E58" i="27"/>
  <c r="D10" i="30"/>
  <c r="D52" i="27"/>
  <c r="J10" i="30" l="1"/>
  <c r="D14" i="30"/>
  <c r="D58" i="27"/>
  <c r="D18" i="30" l="1"/>
  <c r="H12" i="35" l="1"/>
  <c r="H48" i="35" s="1"/>
  <c r="H12" i="27"/>
  <c r="J8" i="35"/>
  <c r="J12" i="35" s="1"/>
  <c r="H12" i="40"/>
  <c r="H14" i="35" l="1"/>
  <c r="H7" i="30"/>
  <c r="J7" i="30" s="1"/>
  <c r="H49" i="35"/>
  <c r="J48" i="35"/>
  <c r="J8" i="40"/>
  <c r="J12" i="40" s="1"/>
  <c r="J8" i="27"/>
  <c r="J12" i="27" l="1"/>
  <c r="J14" i="35"/>
  <c r="J15" i="35" s="1"/>
  <c r="H15" i="35"/>
  <c r="J55" i="40"/>
  <c r="H56" i="40"/>
  <c r="J49" i="35"/>
  <c r="J14" i="40"/>
  <c r="J15" i="40" s="1"/>
  <c r="H15" i="40"/>
  <c r="H52" i="40" s="1"/>
  <c r="J52" i="40" s="1"/>
  <c r="H45" i="35" l="1"/>
  <c r="H56" i="27"/>
  <c r="J55" i="27"/>
  <c r="J56" i="40"/>
  <c r="J58" i="40" s="1"/>
  <c r="D26" i="30" s="1"/>
  <c r="H58" i="40"/>
  <c r="J45" i="35" l="1"/>
  <c r="J51" i="35" s="1"/>
  <c r="H51" i="35"/>
  <c r="J14" i="27"/>
  <c r="H15" i="27"/>
  <c r="H16" i="30"/>
  <c r="J56" i="27"/>
  <c r="J15" i="27" l="1"/>
  <c r="H8" i="30"/>
  <c r="H52" i="27"/>
  <c r="D27" i="30"/>
  <c r="E26" i="30" s="1"/>
  <c r="J16" i="30"/>
  <c r="E23" i="30" l="1"/>
  <c r="E24" i="30"/>
  <c r="E25" i="30"/>
  <c r="J52" i="27"/>
  <c r="H58" i="27"/>
  <c r="J8" i="30"/>
  <c r="H14" i="30"/>
  <c r="J58" i="27" l="1"/>
  <c r="J14" i="30"/>
  <c r="J18" i="30" s="1"/>
  <c r="H18" i="30"/>
  <c r="E27" i="30"/>
  <c r="L69" i="16" l="1"/>
  <c r="L72" i="16" s="1"/>
  <c r="J21" i="2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tc={C7A27A97-9429-4A99-87A1-F5CB80DCB4DD}</author>
  </authors>
  <commentList>
    <comment ref="C2" authorId="0" shapeId="0" xr:uid="{604E32A3-39E4-483F-A832-C8EE77FB6D0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HR as of 12/10/23</t>
        </r>
      </text>
    </comment>
    <comment ref="G3" authorId="1" shapeId="0" xr:uid="{C7A27A97-9429-4A99-87A1-F5CB80DCB4DD}">
      <text>
        <t>[Threaded comment]
Your version of Excel allows you to read this threaded comment; however, any edits to it will get removed if the file is opened in a newer version of Excel. Learn more: https://go.microsoft.com/fwlink/?linkid=870924
Comment:
    Based on 0% raise projection for SFY25 that is usually effective 7/1</t>
      </text>
    </comment>
  </commentList>
</comments>
</file>

<file path=xl/sharedStrings.xml><?xml version="1.0" encoding="utf-8"?>
<sst xmlns="http://schemas.openxmlformats.org/spreadsheetml/2006/main" count="722" uniqueCount="169">
  <si>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</si>
  <si>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</si>
  <si>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</si>
  <si>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</si>
  <si>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</si>
  <si>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</si>
  <si>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</si>
  <si>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</si>
  <si>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</si>
  <si>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</si>
  <si>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</si>
  <si>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</si>
  <si>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</si>
  <si>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</si>
  <si>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</si>
  <si>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</si>
  <si>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</si>
  <si>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</si>
  <si>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</si>
  <si>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</si>
  <si>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</si>
  <si>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</si>
  <si>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</si>
  <si>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</si>
  <si>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</si>
  <si>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</si>
  <si>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</si>
  <si>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</si>
  <si>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</si>
  <si>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</si>
  <si>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</si>
  <si>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</si>
  <si>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</si>
  <si>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</si>
  <si>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</si>
  <si>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</si>
  <si>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</si>
  <si>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</si>
  <si>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</si>
  <si>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</si>
  <si>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</si>
  <si>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Grid Scale 5-19 WMh Battery</t>
  </si>
  <si>
    <t>Charging infastructure</t>
  </si>
  <si>
    <t>Infastructure for MHC Power</t>
  </si>
  <si>
    <t>Electrification of VDOT's Light Duty Fleet</t>
  </si>
  <si>
    <t>Electrification of DRPT's Transit Fleet</t>
  </si>
  <si>
    <t>VA Energy EV Rebate Program</t>
  </si>
  <si>
    <t>Mobile Harbor Crane(MHC) Power</t>
  </si>
  <si>
    <t xml:space="preserve">Contract with entity for Outreach/Marketing/Technical Support for 900 hours / year @ $45.65/hour, which are state rates set by Virginia Clean Cities at JMU. </t>
  </si>
  <si>
    <t>30 Level 2 Chargers</t>
  </si>
  <si>
    <t>28 Level 3 Chargers</t>
  </si>
  <si>
    <t>4 Level 4 Chargers</t>
  </si>
  <si>
    <t>4 Shuttle Carriers</t>
  </si>
  <si>
    <t>17 Maintenance Vans</t>
  </si>
  <si>
    <t>13 8k Forklifts</t>
  </si>
  <si>
    <t>7 Utility Tractor Rigs</t>
  </si>
  <si>
    <t>EV Rebates with the expectation of granting a total of 5,660 Rebates over 2 years</t>
  </si>
  <si>
    <t xml:space="preserve">Research and Analysis Staff (Dr. Erin Robartes) @ $86,957/yr, .12 FTE each year, no salary increase </t>
  </si>
  <si>
    <t xml:space="preserve">Research and Analysis Staff (Dr. Noah Goodall) @ $111,982/yr, .09 FTE, no salary increase </t>
  </si>
  <si>
    <t>Per Diem @ $71, 2 travel days, for 30 people</t>
  </si>
  <si>
    <t>Contract for 50 EV Charger Installations. Assumes average installation cost of $2,000 / charger. Costs expected to be incurred in only Year 2 after acquisition of chargers</t>
  </si>
  <si>
    <t>1 night stay at hotel for 15 VDOT staff in eastern VA @ $150/room</t>
  </si>
  <si>
    <t>1 night stay at hotel for 15 VDOT staff in western VA @ $150/room</t>
  </si>
  <si>
    <t>Travel for EV convening and training:</t>
  </si>
  <si>
    <t>Contract with entity for Project Management to launch and establish Rebate program in first 2 years at rate of $500,000 per year to kickstart program</t>
  </si>
  <si>
    <t>Grid Scale 10-15 WMh Battery</t>
  </si>
  <si>
    <t>Contract for Installation of Gate System</t>
  </si>
  <si>
    <t>Contract for the Installation of Chargers</t>
  </si>
  <si>
    <t>Controlled and Video Monitored Truck Gate House</t>
  </si>
  <si>
    <t>Contract for the Installation of Grid Power for MHC</t>
  </si>
  <si>
    <t>Contract for the Installation of Batteries at 2 facilities</t>
  </si>
  <si>
    <t>13 Light Duty Battery Electric Buses (BEBs) @ $182,858/ bus with 1.02% annual inflation increase in cost. 68% CPRG ask with 28% DRPT state share and 4% local share. 2 buses in Year 1, 3 in Year 2, 3 in Year 3, 3 Year 4, 2 in Year 5</t>
  </si>
  <si>
    <t>Contract for Creating Reservation System and Licences</t>
  </si>
  <si>
    <t>21 Empty Container Handlers</t>
  </si>
  <si>
    <t>Salary Standards</t>
  </si>
  <si>
    <t xml:space="preserve"> Year 1: SFY25 (7/1/24 - 6/30/25)</t>
  </si>
  <si>
    <t>Fringe</t>
  </si>
  <si>
    <t>Wage Fringe</t>
  </si>
  <si>
    <t>Indirect</t>
  </si>
  <si>
    <t>Title</t>
  </si>
  <si>
    <t>Position #</t>
  </si>
  <si>
    <t>Current Hourly Rate</t>
  </si>
  <si>
    <t>Annual Salary (*2080 hrs)</t>
  </si>
  <si>
    <t>Annual Salary w/ addtl 3% Increase</t>
  </si>
  <si>
    <t>% Charged to the Grant</t>
  </si>
  <si>
    <t xml:space="preserve"> Personnel Cost</t>
  </si>
  <si>
    <t>Air Quality Planning Manager</t>
  </si>
  <si>
    <t>P0719</t>
  </si>
  <si>
    <t>Senior Planner</t>
  </si>
  <si>
    <t>P4498</t>
  </si>
  <si>
    <t>Greenhouse Gas Inventory Specialist</t>
  </si>
  <si>
    <t>P4544</t>
  </si>
  <si>
    <t>Director, Air &amp; Renewable Energy Div.</t>
  </si>
  <si>
    <t>P4013</t>
  </si>
  <si>
    <t>Year 2: SFY26 (7/1/25 - 6/30/26)</t>
  </si>
  <si>
    <t>Year 3: SFY27 (7/1/26 - 6/30/27)</t>
  </si>
  <si>
    <t>Annual Salary w/ addtl 0% Increase</t>
  </si>
  <si>
    <t>Year 4: SFY28 (7/1/27 - 6/30/28)</t>
  </si>
  <si>
    <t>Year 5: SFY29 (7/1/28 - 6/30/29)</t>
  </si>
  <si>
    <t>Total Years 1 - 5</t>
  </si>
  <si>
    <t>Check</t>
  </si>
  <si>
    <t>Purpose of Travel</t>
  </si>
  <si>
    <t>Location</t>
  </si>
  <si>
    <t>Travel Expense</t>
  </si>
  <si>
    <t>Cost</t>
  </si>
  <si>
    <t># of days/nights or # Miles</t>
  </si>
  <si>
    <t># Staff</t>
  </si>
  <si>
    <t>Norfolk, VA</t>
  </si>
  <si>
    <t>Lodging @ $107/night</t>
  </si>
  <si>
    <t>Meals 1 day @ $44</t>
  </si>
  <si>
    <t>Mileage @ $0.67/mi</t>
  </si>
  <si>
    <t>Total Travel</t>
  </si>
  <si>
    <t>Lodging @ $245/night</t>
  </si>
  <si>
    <t>Meals 1 day @ $48</t>
  </si>
  <si>
    <t>Annual Travel Total</t>
  </si>
  <si>
    <r>
      <t>Internal Admin Staff @ $98,558/yr, .5</t>
    </r>
    <r>
      <rPr>
        <sz val="11"/>
        <rFont val="Calibri"/>
        <family val="2"/>
        <scheme val="minor"/>
      </rPr>
      <t xml:space="preserve"> FTE </t>
    </r>
    <r>
      <rPr>
        <i/>
        <sz val="11"/>
        <rFont val="Calibri"/>
        <family val="2"/>
        <scheme val="minor"/>
      </rPr>
      <t>without salary increases</t>
    </r>
  </si>
  <si>
    <r>
      <t>Internal Admin Staff @ $98,558/yr, .5</t>
    </r>
    <r>
      <rPr>
        <sz val="11"/>
        <rFont val="Calibri"/>
        <family val="2"/>
        <scheme val="minor"/>
      </rPr>
      <t xml:space="preserve"> FTE </t>
    </r>
    <r>
      <rPr>
        <i/>
        <sz val="11"/>
        <rFont val="Calibri"/>
        <family val="2"/>
        <scheme val="minor"/>
      </rPr>
      <t>with 50% Fringe Rate</t>
    </r>
  </si>
  <si>
    <t>VDOT - $4,000,000</t>
  </si>
  <si>
    <t>VPA - $89,700,000</t>
  </si>
  <si>
    <t>DRPT - $85,000,000</t>
  </si>
  <si>
    <t>Difference from original allocation</t>
  </si>
  <si>
    <t>Subaward VDOT includes:</t>
  </si>
  <si>
    <t>Staff Costs:</t>
  </si>
  <si>
    <t>Equipment:</t>
  </si>
  <si>
    <t>Supplies:</t>
  </si>
  <si>
    <t xml:space="preserve">    50 Electric Trucks @ $76,000 each</t>
  </si>
  <si>
    <t xml:space="preserve">   50 EV Monitoring Devices @ $600 each </t>
  </si>
  <si>
    <t>47% of Personnel</t>
  </si>
  <si>
    <t>38.5% of Personnel (DEQ's negotiated indirect cost rate agreement with US EPA effective 7/1/24-6/30/25)</t>
  </si>
  <si>
    <t>P0719 - Air Quality Planning Manager</t>
  </si>
  <si>
    <t>P4498 - Senior Planner</t>
  </si>
  <si>
    <t>P4544 - Greenhouse Gas Inventory Specialist</t>
  </si>
  <si>
    <t>P4013 - Director, Air &amp; Renewable Energy Div.</t>
  </si>
  <si>
    <t>Subaward DRPT includes:</t>
  </si>
  <si>
    <t>95 Heavy Duty Battery Electric Buses (BEBs) @     $1,224,000/ bus with 1.02% annual inflation increase in cost. 68% CPRG ask with 28% DRPT state share and 4% local share. 13 buses in Year 1, 30 in Year 2, 18 in Year 3, 28 in Year 4, 6 in Year 5</t>
  </si>
  <si>
    <t>Subaward VPA includes:</t>
  </si>
  <si>
    <t>P</t>
  </si>
  <si>
    <t>F</t>
  </si>
  <si>
    <t>I</t>
  </si>
  <si>
    <t>Project 1</t>
  </si>
  <si>
    <t>Subaward VA Energy includes:</t>
  </si>
  <si>
    <t>Participant Support Costs:</t>
  </si>
  <si>
    <t>Project 3 Subtotal</t>
  </si>
  <si>
    <t>Project 2 Subtotal</t>
  </si>
  <si>
    <t>Project 1 Subtotal</t>
  </si>
  <si>
    <t>Project 2</t>
  </si>
  <si>
    <t>VPA site visits for electrification transportation projects at multiple VPA terminals</t>
  </si>
  <si>
    <t>VPA visits for deployment of Battery Storage System at 2 VPA Facilities</t>
  </si>
  <si>
    <t xml:space="preserve">Virginia Port Authority (VPA) site visits:
</t>
  </si>
  <si>
    <t xml:space="preserve">     Deployment of Battery Storage System at 2  
     VPA Facilities</t>
  </si>
  <si>
    <t xml:space="preserve">     Electrification transportation projects at
     multiple VPA terminals</t>
  </si>
  <si>
    <t xml:space="preserve">     Implementation of New Gate Complex with
     Terminal Reservation System at VPA Facility</t>
  </si>
  <si>
    <t>VPA site visits for implementation of New Gate Complex with Terminal Reservation System at VPA Facility</t>
  </si>
  <si>
    <t>2 overnight trips to DPRT transit agencies project sites per year (e.g., Bristol, Blacksburg, NOVA (Alexandria/Fairfax,/Arlington), and Gloucester County</t>
  </si>
  <si>
    <t>2 overnight trip to VDOT truck electrification sites located at VDOT District Office Headquarters per year (e.g., Bristol, Salem, Lynchburg, Hampton Roads, Northern VA)</t>
  </si>
  <si>
    <t>Bristol, Blacksburg, NOVA (Alexandria/Fairfax,/Arlington), and Gloucester County</t>
  </si>
  <si>
    <t>Bristol, Salem, Lynchburg, Hampton Roads, Northern VA</t>
  </si>
  <si>
    <t>DPRT and VDOT site visits:</t>
  </si>
  <si>
    <t>Contractual</t>
  </si>
  <si>
    <t>Equipment</t>
  </si>
  <si>
    <t>Project 3</t>
  </si>
  <si>
    <t>Subaward VPA Project 4 includes:</t>
  </si>
  <si>
    <t>Contractual:</t>
  </si>
  <si>
    <t xml:space="preserve">(Lodging @ $245/night, per diem 1 day @ $48, Mileage @ $0.67/mi for 3 staff)
-2 overnight trips to DPRT transit agencies project sites per year
-2 overnight trips to VDOT truck electrification sites located at VDOT District Office Headquarters per year </t>
  </si>
  <si>
    <t>VPA site visits for 3 staff:
(Lodging @ $107/night, per diem 1 day @ $44, Mileage @ $0.67/mi)
-Deployment of Battery Storage System at 2 VPA Facilities
-Implementation of New Gate Complex with Terminal Reservation System at VPA Facility
-Electrification transportation projects at multiple VPA terminals</t>
  </si>
  <si>
    <t>((Lodging @ $245/night, per diem 1 day @ $48, Mileage @ $0.67/mi for 3 staff)
2 overnight trips to VDOT truck electrification sites located at VDOT District Office Headquarters per year (e.g., Bristol, Salem, Lynchburg, Hampton Roads, Northern VA)</t>
  </si>
  <si>
    <t>(Lodging @ $245/night, per diem 1 day @ $48, Mileage @ $0.67/mi for 3 staff)
2 overnight trips to DPRT transit agencies project sites per year (e.g., Bristol, Blacksburg, NOVA (Alexandria/Fairfax,/Arlington), and Gloucester County</t>
  </si>
  <si>
    <t>(Lodging @ $107/night, per diem 1 day @ $44, Mileage @ $0.67/mi)
VPA visits for deployment of Battery Storage System at 2 VPA Facilities</t>
  </si>
  <si>
    <t>Electification of Virginia Port Authority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</si>
</sst>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"/>
    <numFmt numFmtId="166" formatCode="0.0%"/>
    <numFmt numFmtId="167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Arial"/>
      <family val="2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9" fillId="0" borderId="0"/>
  </cellStyleXfs>
  <cellXfs count="217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2" fillId="0" borderId="1" xfId="0" applyFont="1" applyBorder="1"/>
    <xf numFmtId="0" fontId="0" fillId="0" borderId="1" xfId="0" applyBorder="1"/>
    <xf numFmtId="0" fontId="9" fillId="0" borderId="11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2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0" fontId="11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3" fillId="0" borderId="0" xfId="0" applyFont="1"/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0" fontId="13" fillId="0" borderId="1" xfId="0" applyFont="1" applyBorder="1" applyAlignment="1">
      <alignment horizontal="left" wrapText="1" indent="2"/>
    </xf>
    <xf numFmtId="6" fontId="13" fillId="0" borderId="1" xfId="0" applyNumberFormat="1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0" xfId="0" applyFont="1"/>
    <xf numFmtId="0" fontId="14" fillId="4" borderId="1" xfId="0" applyFont="1" applyFill="1" applyBorder="1" applyAlignment="1">
      <alignment wrapText="1"/>
    </xf>
    <xf numFmtId="6" fontId="13" fillId="4" borderId="4" xfId="0" applyNumberFormat="1" applyFont="1" applyFill="1" applyBorder="1" applyAlignment="1">
      <alignment wrapText="1"/>
    </xf>
    <xf numFmtId="6" fontId="13" fillId="4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6" fontId="14" fillId="0" borderId="0" xfId="0" applyNumberFormat="1" applyFont="1"/>
    <xf numFmtId="0" fontId="15" fillId="0" borderId="11" xfId="0" applyFont="1" applyBorder="1" applyAlignment="1">
      <alignment wrapText="1"/>
    </xf>
    <xf numFmtId="6" fontId="16" fillId="0" borderId="12" xfId="0" applyNumberFormat="1" applyFont="1" applyBorder="1" applyAlignment="1">
      <alignment wrapText="1"/>
    </xf>
    <xf numFmtId="0" fontId="17" fillId="0" borderId="0" xfId="0" applyFont="1"/>
    <xf numFmtId="0" fontId="14" fillId="0" borderId="0" xfId="0" applyFont="1" applyAlignment="1">
      <alignment vertical="top"/>
    </xf>
    <xf numFmtId="164" fontId="14" fillId="0" borderId="0" xfId="1" applyNumberFormat="1" applyFont="1" applyBorder="1"/>
    <xf numFmtId="0" fontId="18" fillId="5" borderId="8" xfId="0" applyFont="1" applyFill="1" applyBorder="1"/>
    <xf numFmtId="0" fontId="15" fillId="5" borderId="7" xfId="0" applyFont="1" applyFill="1" applyBorder="1" applyAlignment="1">
      <alignment wrapText="1"/>
    </xf>
    <xf numFmtId="0" fontId="15" fillId="5" borderId="6" xfId="0" applyFont="1" applyFill="1" applyBorder="1" applyAlignment="1">
      <alignment wrapText="1"/>
    </xf>
    <xf numFmtId="0" fontId="15" fillId="6" borderId="13" xfId="0" applyFont="1" applyFill="1" applyBorder="1" applyAlignment="1">
      <alignment wrapText="1"/>
    </xf>
    <xf numFmtId="0" fontId="15" fillId="6" borderId="14" xfId="0" applyFont="1" applyFill="1" applyBorder="1" applyAlignment="1">
      <alignment wrapText="1"/>
    </xf>
    <xf numFmtId="0" fontId="15" fillId="6" borderId="15" xfId="0" applyFont="1" applyFill="1" applyBorder="1" applyAlignment="1">
      <alignment wrapText="1"/>
    </xf>
    <xf numFmtId="0" fontId="15" fillId="6" borderId="7" xfId="0" applyFont="1" applyFill="1" applyBorder="1" applyAlignment="1">
      <alignment wrapText="1"/>
    </xf>
    <xf numFmtId="0" fontId="15" fillId="6" borderId="3" xfId="0" applyFont="1" applyFill="1" applyBorder="1"/>
    <xf numFmtId="0" fontId="15" fillId="0" borderId="2" xfId="0" applyFont="1" applyBorder="1" applyAlignment="1">
      <alignment vertical="top" wrapText="1"/>
    </xf>
    <xf numFmtId="0" fontId="15" fillId="0" borderId="1" xfId="0" applyFont="1" applyBorder="1" applyAlignment="1">
      <alignment vertical="top"/>
    </xf>
    <xf numFmtId="0" fontId="14" fillId="0" borderId="1" xfId="0" applyFont="1" applyBorder="1"/>
    <xf numFmtId="0" fontId="14" fillId="0" borderId="5" xfId="0" applyFont="1" applyBorder="1" applyAlignment="1">
      <alignment vertical="top"/>
    </xf>
    <xf numFmtId="0" fontId="13" fillId="0" borderId="1" xfId="0" applyFont="1" applyBorder="1" applyAlignment="1">
      <alignment horizontal="left" wrapText="1" indent="4"/>
    </xf>
    <xf numFmtId="0" fontId="14" fillId="0" borderId="3" xfId="0" applyFont="1" applyBorder="1" applyAlignment="1">
      <alignment vertical="top"/>
    </xf>
    <xf numFmtId="0" fontId="15" fillId="0" borderId="1" xfId="0" applyFont="1" applyBorder="1"/>
    <xf numFmtId="0" fontId="15" fillId="0" borderId="0" xfId="0" applyFont="1"/>
    <xf numFmtId="0" fontId="14" fillId="7" borderId="1" xfId="0" applyFont="1" applyFill="1" applyBorder="1" applyAlignment="1">
      <alignment wrapText="1"/>
    </xf>
    <xf numFmtId="6" fontId="13" fillId="7" borderId="1" xfId="0" applyNumberFormat="1" applyFont="1" applyFill="1" applyBorder="1" applyAlignment="1">
      <alignment horizontal="left" vertical="top" wrapText="1"/>
    </xf>
    <xf numFmtId="6" fontId="13" fillId="7" borderId="1" xfId="0" applyNumberFormat="1" applyFont="1" applyFill="1" applyBorder="1" applyAlignment="1">
      <alignment wrapText="1"/>
    </xf>
    <xf numFmtId="6" fontId="14" fillId="0" borderId="0" xfId="0" applyNumberFormat="1" applyFont="1" applyAlignment="1">
      <alignment vertical="top"/>
    </xf>
    <xf numFmtId="0" fontId="15" fillId="0" borderId="0" xfId="0" applyFont="1" applyAlignment="1">
      <alignment vertical="center"/>
    </xf>
    <xf numFmtId="0" fontId="20" fillId="0" borderId="22" xfId="4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20" fillId="0" borderId="23" xfId="4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1" fillId="0" borderId="1" xfId="4" applyFont="1" applyBorder="1" applyAlignment="1">
      <alignment horizontal="center" vertical="center"/>
    </xf>
    <xf numFmtId="0" fontId="21" fillId="0" borderId="1" xfId="4" applyFont="1" applyBorder="1" applyAlignment="1">
      <alignment horizontal="center" vertical="center" wrapText="1"/>
    </xf>
    <xf numFmtId="0" fontId="21" fillId="0" borderId="0" xfId="4" applyFont="1" applyAlignment="1">
      <alignment horizontal="center" vertical="center" wrapText="1"/>
    </xf>
    <xf numFmtId="43" fontId="21" fillId="0" borderId="1" xfId="3" applyFont="1" applyFill="1" applyBorder="1" applyAlignment="1">
      <alignment horizontal="center" vertical="center" wrapText="1"/>
    </xf>
    <xf numFmtId="9" fontId="14" fillId="0" borderId="24" xfId="0" applyNumberFormat="1" applyFont="1" applyBorder="1" applyAlignment="1">
      <alignment horizontal="center" vertical="center"/>
    </xf>
    <xf numFmtId="10" fontId="14" fillId="0" borderId="25" xfId="0" applyNumberFormat="1" applyFont="1" applyBorder="1" applyAlignment="1">
      <alignment horizontal="center" vertical="center"/>
    </xf>
    <xf numFmtId="166" fontId="14" fillId="0" borderId="25" xfId="0" applyNumberFormat="1" applyFont="1" applyBorder="1" applyAlignment="1">
      <alignment horizontal="center" vertical="center"/>
    </xf>
    <xf numFmtId="9" fontId="21" fillId="0" borderId="1" xfId="2" applyFont="1" applyFill="1" applyBorder="1" applyAlignment="1">
      <alignment horizontal="center" vertical="center" wrapText="1"/>
    </xf>
    <xf numFmtId="166" fontId="21" fillId="10" borderId="1" xfId="4" applyNumberFormat="1" applyFont="1" applyFill="1" applyBorder="1" applyAlignment="1">
      <alignment horizontal="center" vertical="center" wrapText="1"/>
    </xf>
    <xf numFmtId="9" fontId="21" fillId="0" borderId="1" xfId="3" applyNumberFormat="1" applyFont="1" applyFill="1" applyBorder="1" applyAlignment="1">
      <alignment horizontal="center" vertical="center" wrapText="1"/>
    </xf>
    <xf numFmtId="166" fontId="21" fillId="0" borderId="1" xfId="4" applyNumberFormat="1" applyFont="1" applyBorder="1" applyAlignment="1">
      <alignment horizontal="center" vertical="center" wrapText="1"/>
    </xf>
    <xf numFmtId="0" fontId="0" fillId="10" borderId="1" xfId="0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2" fontId="14" fillId="0" borderId="1" xfId="4" applyNumberFormat="1" applyFont="1" applyBorder="1" applyAlignment="1">
      <alignment horizontal="center" vertical="center"/>
    </xf>
    <xf numFmtId="164" fontId="14" fillId="0" borderId="1" xfId="1" applyNumberFormat="1" applyFont="1" applyFill="1" applyBorder="1" applyAlignment="1">
      <alignment vertical="center"/>
    </xf>
    <xf numFmtId="167" fontId="14" fillId="0" borderId="0" xfId="3" applyNumberFormat="1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wrapText="1"/>
    </xf>
    <xf numFmtId="9" fontId="14" fillId="0" borderId="1" xfId="2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vertical="center"/>
    </xf>
    <xf numFmtId="167" fontId="0" fillId="0" borderId="1" xfId="0" applyNumberFormat="1" applyBorder="1"/>
    <xf numFmtId="0" fontId="14" fillId="0" borderId="1" xfId="0" applyFont="1" applyBorder="1" applyAlignment="1">
      <alignment horizontal="center"/>
    </xf>
    <xf numFmtId="167" fontId="15" fillId="0" borderId="0" xfId="3" applyNumberFormat="1" applyFont="1" applyFill="1" applyBorder="1" applyAlignment="1">
      <alignment horizontal="right" wrapText="1"/>
    </xf>
    <xf numFmtId="167" fontId="15" fillId="0" borderId="1" xfId="3" applyNumberFormat="1" applyFont="1" applyFill="1" applyBorder="1" applyAlignment="1">
      <alignment horizontal="right" wrapText="1"/>
    </xf>
    <xf numFmtId="2" fontId="15" fillId="0" borderId="1" xfId="3" applyNumberFormat="1" applyFont="1" applyFill="1" applyBorder="1" applyAlignment="1">
      <alignment horizontal="center" vertical="center"/>
    </xf>
    <xf numFmtId="164" fontId="15" fillId="0" borderId="1" xfId="3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3" fontId="21" fillId="0" borderId="0" xfId="3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22" fillId="0" borderId="0" xfId="0" applyFont="1" applyAlignment="1">
      <alignment horizontal="right"/>
    </xf>
    <xf numFmtId="164" fontId="22" fillId="0" borderId="0" xfId="0" applyNumberFormat="1" applyFont="1"/>
    <xf numFmtId="164" fontId="22" fillId="11" borderId="0" xfId="0" applyNumberFormat="1" applyFont="1" applyFill="1"/>
    <xf numFmtId="164" fontId="2" fillId="0" borderId="0" xfId="0" applyNumberFormat="1" applyFont="1"/>
    <xf numFmtId="165" fontId="13" fillId="0" borderId="1" xfId="0" applyNumberFormat="1" applyFont="1" applyBorder="1" applyAlignment="1">
      <alignment wrapText="1"/>
    </xf>
    <xf numFmtId="0" fontId="13" fillId="0" borderId="0" xfId="0" applyFont="1" applyAlignment="1">
      <alignment horizontal="left" wrapText="1" indent="2"/>
    </xf>
    <xf numFmtId="0" fontId="15" fillId="0" borderId="2" xfId="0" applyFont="1" applyBorder="1" applyAlignment="1">
      <alignment vertical="top"/>
    </xf>
    <xf numFmtId="0" fontId="13" fillId="0" borderId="1" xfId="0" applyFont="1" applyBorder="1" applyAlignment="1">
      <alignment horizontal="left" wrapText="1" indent="3"/>
    </xf>
    <xf numFmtId="6" fontId="14" fillId="4" borderId="1" xfId="0" applyNumberFormat="1" applyFont="1" applyFill="1" applyBorder="1" applyAlignment="1">
      <alignment wrapText="1"/>
    </xf>
    <xf numFmtId="6" fontId="15" fillId="0" borderId="19" xfId="0" applyNumberFormat="1" applyFont="1" applyBorder="1" applyAlignment="1">
      <alignment wrapText="1"/>
    </xf>
    <xf numFmtId="6" fontId="15" fillId="0" borderId="1" xfId="0" applyNumberFormat="1" applyFont="1" applyBorder="1" applyAlignment="1">
      <alignment wrapText="1"/>
    </xf>
    <xf numFmtId="0" fontId="15" fillId="2" borderId="7" xfId="0" applyFont="1" applyFill="1" applyBorder="1" applyAlignment="1">
      <alignment wrapText="1"/>
    </xf>
    <xf numFmtId="0" fontId="15" fillId="3" borderId="13" xfId="0" applyFont="1" applyFill="1" applyBorder="1" applyAlignment="1">
      <alignment wrapText="1"/>
    </xf>
    <xf numFmtId="0" fontId="15" fillId="3" borderId="20" xfId="0" applyFont="1" applyFill="1" applyBorder="1" applyAlignment="1">
      <alignment wrapText="1"/>
    </xf>
    <xf numFmtId="6" fontId="13" fillId="7" borderId="8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left" wrapText="1" indent="2"/>
    </xf>
    <xf numFmtId="165" fontId="0" fillId="0" borderId="1" xfId="0" applyNumberFormat="1" applyBorder="1" applyAlignment="1">
      <alignment wrapText="1"/>
    </xf>
    <xf numFmtId="0" fontId="3" fillId="0" borderId="8" xfId="0" applyFont="1" applyBorder="1" applyAlignment="1">
      <alignment horizontal="left" wrapText="1" indent="2"/>
    </xf>
    <xf numFmtId="165" fontId="0" fillId="0" borderId="1" xfId="0" applyNumberFormat="1" applyBorder="1" applyAlignment="1">
      <alignment vertical="top"/>
    </xf>
    <xf numFmtId="165" fontId="0" fillId="0" borderId="1" xfId="1" applyNumberFormat="1" applyFont="1" applyBorder="1"/>
    <xf numFmtId="165" fontId="14" fillId="0" borderId="0" xfId="0" applyNumberFormat="1" applyFont="1"/>
    <xf numFmtId="165" fontId="14" fillId="0" borderId="1" xfId="0" applyNumberFormat="1" applyFont="1" applyBorder="1" applyAlignment="1">
      <alignment wrapText="1"/>
    </xf>
    <xf numFmtId="165" fontId="13" fillId="4" borderId="1" xfId="0" applyNumberFormat="1" applyFont="1" applyFill="1" applyBorder="1" applyAlignment="1">
      <alignment wrapText="1"/>
    </xf>
    <xf numFmtId="165" fontId="14" fillId="0" borderId="1" xfId="0" applyNumberFormat="1" applyFont="1" applyBorder="1"/>
    <xf numFmtId="165" fontId="13" fillId="4" borderId="4" xfId="0" applyNumberFormat="1" applyFont="1" applyFill="1" applyBorder="1" applyAlignment="1">
      <alignment wrapText="1"/>
    </xf>
    <xf numFmtId="165" fontId="16" fillId="0" borderId="12" xfId="0" applyNumberFormat="1" applyFont="1" applyBorder="1" applyAlignment="1">
      <alignment wrapText="1"/>
    </xf>
    <xf numFmtId="0" fontId="25" fillId="0" borderId="0" xfId="0" applyFont="1"/>
    <xf numFmtId="6" fontId="25" fillId="12" borderId="0" xfId="0" applyNumberFormat="1" applyFont="1" applyFill="1"/>
    <xf numFmtId="6" fontId="25" fillId="0" borderId="0" xfId="0" applyNumberFormat="1" applyFont="1"/>
    <xf numFmtId="43" fontId="0" fillId="0" borderId="0" xfId="0" applyNumberFormat="1"/>
    <xf numFmtId="167" fontId="15" fillId="0" borderId="1" xfId="3" applyNumberFormat="1" applyFont="1" applyFill="1" applyBorder="1" applyAlignment="1">
      <alignment horizontal="center" vertical="center"/>
    </xf>
    <xf numFmtId="164" fontId="0" fillId="0" borderId="0" xfId="0" applyNumberFormat="1"/>
    <xf numFmtId="164" fontId="25" fillId="0" borderId="0" xfId="0" applyNumberFormat="1" applyFont="1"/>
    <xf numFmtId="44" fontId="25" fillId="0" borderId="0" xfId="0" applyNumberFormat="1" applyFont="1"/>
    <xf numFmtId="6" fontId="14" fillId="8" borderId="0" xfId="0" applyNumberFormat="1" applyFont="1" applyFill="1"/>
    <xf numFmtId="8" fontId="0" fillId="0" borderId="0" xfId="0" applyNumberFormat="1"/>
    <xf numFmtId="0" fontId="25" fillId="12" borderId="0" xfId="0" applyFont="1" applyFill="1"/>
    <xf numFmtId="6" fontId="13" fillId="0" borderId="8" xfId="0" applyNumberFormat="1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4" fillId="9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15" fillId="0" borderId="5" xfId="0" applyFont="1" applyBorder="1" applyAlignment="1">
      <alignment vertical="top" wrapText="1"/>
    </xf>
    <xf numFmtId="165" fontId="14" fillId="0" borderId="2" xfId="0" applyNumberFormat="1" applyFont="1" applyBorder="1" applyAlignment="1">
      <alignment wrapText="1"/>
    </xf>
    <xf numFmtId="165" fontId="14" fillId="0" borderId="2" xfId="0" applyNumberFormat="1" applyFont="1" applyBorder="1"/>
    <xf numFmtId="165" fontId="14" fillId="0" borderId="1" xfId="0" applyNumberFormat="1" applyFont="1" applyBorder="1" applyAlignment="1">
      <alignment vertical="top"/>
    </xf>
    <xf numFmtId="165" fontId="13" fillId="4" borderId="3" xfId="0" applyNumberFormat="1" applyFont="1" applyFill="1" applyBorder="1" applyAlignment="1">
      <alignment wrapText="1"/>
    </xf>
    <xf numFmtId="165" fontId="13" fillId="0" borderId="2" xfId="0" applyNumberFormat="1" applyFont="1" applyBorder="1" applyAlignment="1">
      <alignment wrapText="1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wrapText="1"/>
    </xf>
    <xf numFmtId="0" fontId="13" fillId="0" borderId="8" xfId="0" applyFont="1" applyBorder="1" applyAlignment="1">
      <alignment horizontal="left" wrapText="1" indent="2"/>
    </xf>
    <xf numFmtId="165" fontId="25" fillId="0" borderId="0" xfId="0" applyNumberFormat="1" applyFont="1"/>
    <xf numFmtId="0" fontId="15" fillId="0" borderId="1" xfId="0" applyFont="1" applyBorder="1" applyAlignment="1">
      <alignment horizontal="center" vertical="top" wrapText="1"/>
    </xf>
    <xf numFmtId="0" fontId="14" fillId="4" borderId="2" xfId="0" applyFont="1" applyFill="1" applyBorder="1" applyAlignment="1">
      <alignment wrapText="1"/>
    </xf>
    <xf numFmtId="165" fontId="13" fillId="4" borderId="2" xfId="0" applyNumberFormat="1" applyFont="1" applyFill="1" applyBorder="1" applyAlignment="1">
      <alignment wrapText="1"/>
    </xf>
    <xf numFmtId="0" fontId="13" fillId="0" borderId="6" xfId="0" applyFont="1" applyBorder="1" applyAlignment="1">
      <alignment horizontal="left" wrapText="1" indent="2"/>
    </xf>
    <xf numFmtId="0" fontId="14" fillId="4" borderId="6" xfId="0" applyFont="1" applyFill="1" applyBorder="1" applyAlignment="1">
      <alignment wrapText="1"/>
    </xf>
    <xf numFmtId="0" fontId="0" fillId="0" borderId="5" xfId="0" applyBorder="1"/>
    <xf numFmtId="0" fontId="2" fillId="0" borderId="5" xfId="0" applyFont="1" applyBorder="1"/>
    <xf numFmtId="0" fontId="26" fillId="0" borderId="0" xfId="0" applyFont="1"/>
    <xf numFmtId="0" fontId="2" fillId="0" borderId="6" xfId="0" applyFont="1" applyBorder="1" applyAlignment="1">
      <alignment horizontal="center"/>
    </xf>
    <xf numFmtId="0" fontId="0" fillId="0" borderId="2" xfId="0" applyBorder="1" applyAlignment="1">
      <alignment vertical="center" wrapText="1"/>
    </xf>
    <xf numFmtId="164" fontId="0" fillId="0" borderId="1" xfId="1" applyNumberFormat="1" applyFont="1" applyFill="1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0" fillId="0" borderId="3" xfId="0" applyBorder="1" applyAlignment="1">
      <alignment vertical="center" wrapText="1"/>
    </xf>
    <xf numFmtId="44" fontId="0" fillId="0" borderId="1" xfId="1" applyFont="1" applyFill="1" applyBorder="1"/>
    <xf numFmtId="164" fontId="2" fillId="0" borderId="1" xfId="1" applyNumberFormat="1" applyFont="1" applyBorder="1"/>
    <xf numFmtId="0" fontId="2" fillId="0" borderId="26" xfId="0" applyFont="1" applyBorder="1"/>
    <xf numFmtId="164" fontId="2" fillId="0" borderId="26" xfId="0" applyNumberFormat="1" applyFont="1" applyBorder="1"/>
    <xf numFmtId="2" fontId="0" fillId="0" borderId="0" xfId="0" applyNumberFormat="1"/>
    <xf numFmtId="2" fontId="25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2" fillId="0" borderId="8" xfId="0" applyFont="1" applyBorder="1"/>
    <xf numFmtId="0" fontId="2" fillId="0" borderId="7" xfId="0" applyFont="1" applyBorder="1"/>
    <xf numFmtId="0" fontId="2" fillId="0" borderId="6" xfId="0" applyFont="1" applyBorder="1"/>
    <xf numFmtId="49" fontId="13" fillId="0" borderId="1" xfId="0" applyNumberFormat="1" applyFont="1" applyBorder="1" applyAlignment="1">
      <alignment horizontal="left" wrapText="1" indent="2"/>
    </xf>
    <xf numFmtId="0" fontId="0" fillId="0" borderId="3" xfId="0" applyBorder="1"/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8" xfId="0" applyBorder="1" applyAlignment="1">
      <alignment wrapText="1"/>
    </xf>
    <xf numFmtId="0" fontId="13" fillId="0" borderId="1" xfId="0" applyFont="1" applyBorder="1" applyAlignment="1">
      <alignment horizontal="left" wrapText="1" indent="1"/>
    </xf>
    <xf numFmtId="0" fontId="13" fillId="0" borderId="1" xfId="0" applyFont="1" applyBorder="1" applyAlignment="1">
      <alignment horizontal="left" wrapText="1" indent="5"/>
    </xf>
    <xf numFmtId="165" fontId="0" fillId="0" borderId="0" xfId="0" applyNumberFormat="1"/>
    <xf numFmtId="6" fontId="2" fillId="0" borderId="0" xfId="0" applyNumberFormat="1" applyFont="1"/>
    <xf numFmtId="9" fontId="13" fillId="0" borderId="1" xfId="2" applyFont="1" applyBorder="1" applyAlignment="1">
      <alignment wrapText="1"/>
    </xf>
    <xf numFmtId="166" fontId="14" fillId="0" borderId="0" xfId="2" applyNumberFormat="1" applyFont="1"/>
    <xf numFmtId="166" fontId="0" fillId="0" borderId="0" xfId="2" applyNumberFormat="1" applyFont="1"/>
    <xf numFmtId="41" fontId="0" fillId="0" borderId="0" xfId="0" applyNumberFormat="1"/>
    <xf numFmtId="41" fontId="0" fillId="0" borderId="0" xfId="0" applyNumberFormat="1" applyAlignment="1">
      <alignment vertical="top"/>
    </xf>
    <xf numFmtId="41" fontId="25" fillId="0" borderId="0" xfId="0" applyNumberFormat="1" applyFont="1"/>
    <xf numFmtId="9" fontId="13" fillId="0" borderId="5" xfId="2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13" fillId="7" borderId="1" xfId="2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/>
    </xf>
  </cellXfs>
  <cellStyles count="5">
    <cellStyle name="Comma" xfId="3" builtinId="3"/>
    <cellStyle name="Currency" xfId="1" builtinId="4"/>
    <cellStyle name="Normal" xfId="0" builtinId="0"/>
    <cellStyle name="Normal 2" xfId="4" xr:uid="{C24CBB67-EE57-4D40-A8F5-3FDC85A0F12D}"/>
    <cellStyle name="Percent" xfId="2" builtinId="5"/>
  </cellStyles>
  <dxfs count="0"/>
  <tableStyles count="0" defaultTableStyle="TableStyleMedium2" defaultPivotStyle="PivotStyleLight16"/>
  <colors>
    <mruColors>
      <color rgb="FF00FFFF"/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3" dT="2024-03-11T20:06:52.98" personId="{00000000-0000-0000-0000-000000000000}" id="{C7A27A97-9429-4A99-87A1-F5CB80DCB4DD}">
    <text>Based on 0% raise projection for SFY25 that is usually effective 7/1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18"/>
      <c r="K2" s="3"/>
    </row>
    <row r="3" spans="4:11" x14ac:dyDescent="0.25">
      <c r="D3" s="3"/>
      <c r="E3" s="3"/>
      <c r="J3" s="16"/>
      <c r="K3" s="17"/>
    </row>
    <row r="4" spans="4:11" x14ac:dyDescent="0.25">
      <c r="D4" s="4"/>
      <c r="E4" s="3"/>
    </row>
    <row r="9" spans="4:11" x14ac:dyDescent="0.25">
      <c r="J9" s="11"/>
    </row>
    <row r="17" spans="5:18" x14ac:dyDescent="0.25">
      <c r="E17" s="19"/>
      <c r="F17" s="19"/>
      <c r="G17" s="19"/>
      <c r="H17" s="19"/>
      <c r="I17" s="19"/>
    </row>
    <row r="18" spans="5:18" x14ac:dyDescent="0.25">
      <c r="E18" s="19"/>
      <c r="F18" s="19"/>
      <c r="G18" s="19"/>
      <c r="H18" s="19"/>
      <c r="I18" s="19"/>
    </row>
    <row r="27" spans="5:18" ht="23.25" x14ac:dyDescent="0.35">
      <c r="Q27" s="15"/>
    </row>
    <row r="28" spans="5:18" x14ac:dyDescent="0.25">
      <c r="Q28" s="34"/>
      <c r="R28" s="35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2347E-AEB0-4548-B645-2903B5FD54C1}">
  <sheetPr>
    <tabColor theme="0" tint="-0.499984740745262"/>
  </sheetPr>
  <dimension ref="B2:AM56"/>
  <sheetViews>
    <sheetView showGridLines="0" zoomScale="85" zoomScaleNormal="85" workbookViewId="0">
      <pane xSplit="3" ySplit="6" topLeftCell="D20" activePane="bottomRight" state="frozen"/>
      <selection activeCell="G1" sqref="G1:G1048576"/>
      <selection pane="topRight" activeCell="G1" sqref="G1:G1048576"/>
      <selection pane="bottomLeft" activeCell="G1" sqref="G1:G1048576"/>
      <selection pane="bottomRight" activeCell="G1" sqref="G1:G1048576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hidden="1" customWidth="1"/>
    <col min="5" max="5" width="12.5703125" style="2" hidden="1" customWidth="1"/>
    <col min="6" max="7" width="12.42578125" hidden="1" customWidth="1"/>
    <col min="8" max="8" width="12.5703125" style="2" customWidth="1"/>
    <col min="9" max="9" width="0.85546875" style="7" customWidth="1"/>
    <col min="10" max="10" width="13.5703125" customWidth="1"/>
    <col min="11" max="11" width="11.85546875" bestFit="1" customWidth="1"/>
  </cols>
  <sheetData>
    <row r="2" spans="2:39" ht="23.25" x14ac:dyDescent="0.35">
      <c r="B2" s="15" t="s">
        <v>29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20" t="s">
        <v>2</v>
      </c>
      <c r="C5" s="21"/>
      <c r="D5" s="21"/>
      <c r="E5" s="21"/>
      <c r="F5" s="21"/>
      <c r="G5" s="21"/>
      <c r="H5" s="21"/>
      <c r="I5" s="21"/>
      <c r="J5" s="22"/>
    </row>
    <row r="6" spans="2:39" x14ac:dyDescent="0.25">
      <c r="B6" s="23" t="s">
        <v>3</v>
      </c>
      <c r="C6" s="23" t="s">
        <v>4</v>
      </c>
      <c r="D6" s="23" t="s">
        <v>5</v>
      </c>
      <c r="E6" s="24" t="s">
        <v>6</v>
      </c>
      <c r="F6" s="24" t="s">
        <v>7</v>
      </c>
      <c r="G6" s="24" t="s">
        <v>8</v>
      </c>
      <c r="H6" s="25" t="s">
        <v>9</v>
      </c>
      <c r="I6" s="26"/>
      <c r="J6" s="27" t="s">
        <v>10</v>
      </c>
    </row>
    <row r="7" spans="2:39" s="5" customFormat="1" x14ac:dyDescent="0.25">
      <c r="B7" s="117" t="s">
        <v>11</v>
      </c>
      <c r="C7" s="65" t="s">
        <v>31</v>
      </c>
      <c r="D7" s="132" t="s">
        <v>32</v>
      </c>
      <c r="E7" s="132" t="s">
        <v>32</v>
      </c>
      <c r="F7" s="132" t="s">
        <v>32</v>
      </c>
      <c r="G7" s="132"/>
      <c r="H7" s="132" t="s">
        <v>32</v>
      </c>
      <c r="I7" s="131"/>
      <c r="J7" s="13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7"/>
      <c r="C8" s="41" t="s">
        <v>129</v>
      </c>
      <c r="D8" s="127">
        <f>ROUND('DEQ Staff Costs'!I4/6,0)</f>
        <v>2977</v>
      </c>
      <c r="E8" s="127">
        <f>ROUND('DEQ Staff Costs'!I14/6,0)</f>
        <v>3066</v>
      </c>
      <c r="F8" s="127">
        <f>ROUND('DEQ Staff Costs'!I24/6,0)</f>
        <v>2453</v>
      </c>
      <c r="G8" s="127">
        <f>ROUND('DEQ Staff Costs'!I34/6,0)</f>
        <v>2044</v>
      </c>
      <c r="H8" s="127">
        <f>ROUND('DEQ Staff Costs'!I44/6,0)</f>
        <v>2044</v>
      </c>
      <c r="I8" s="131"/>
      <c r="J8" s="134">
        <f>SUM(D8:H8)</f>
        <v>12584</v>
      </c>
    </row>
    <row r="9" spans="2:39" x14ac:dyDescent="0.25">
      <c r="B9" s="67"/>
      <c r="C9" s="41" t="s">
        <v>130</v>
      </c>
      <c r="D9" s="127">
        <f>ROUND('DEQ Staff Costs'!I5/6,0)</f>
        <v>2751</v>
      </c>
      <c r="E9" s="127">
        <f>ROUND('DEQ Staff Costs'!I15/6,0)</f>
        <v>2833</v>
      </c>
      <c r="F9" s="127">
        <f>ROUND('DEQ Staff Costs'!I25/6,0)</f>
        <v>2267</v>
      </c>
      <c r="G9" s="127">
        <f>ROUND('DEQ Staff Costs'!I35/6,0)</f>
        <v>1889</v>
      </c>
      <c r="H9" s="127">
        <f>ROUND('DEQ Staff Costs'!I45/6,0)</f>
        <v>1889</v>
      </c>
      <c r="I9" s="131"/>
      <c r="J9" s="134">
        <f t="shared" ref="J9:J11" si="0">SUM(D9:H9)</f>
        <v>11629</v>
      </c>
    </row>
    <row r="10" spans="2:39" x14ac:dyDescent="0.25">
      <c r="B10" s="67"/>
      <c r="C10" s="41" t="s">
        <v>131</v>
      </c>
      <c r="D10" s="127">
        <f>ROUND('DEQ Staff Costs'!I6/6,0)</f>
        <v>1760</v>
      </c>
      <c r="E10" s="127">
        <f>ROUND('DEQ Staff Costs'!I16/6,0)</f>
        <v>1813</v>
      </c>
      <c r="F10" s="127">
        <f>ROUND('DEQ Staff Costs'!I26/6,0)</f>
        <v>1450</v>
      </c>
      <c r="G10" s="127">
        <f>ROUND('DEQ Staff Costs'!I36/6,0)</f>
        <v>1209</v>
      </c>
      <c r="H10" s="127">
        <f>ROUND('DEQ Staff Costs'!I46/6,0)</f>
        <v>974</v>
      </c>
      <c r="I10" s="131"/>
      <c r="J10" s="134">
        <f t="shared" si="0"/>
        <v>7206</v>
      </c>
    </row>
    <row r="11" spans="2:39" x14ac:dyDescent="0.25">
      <c r="B11" s="67"/>
      <c r="C11" s="41" t="s">
        <v>132</v>
      </c>
      <c r="D11" s="127">
        <f>ROUND('DEQ Staff Costs'!I7/6,0)</f>
        <v>1350</v>
      </c>
      <c r="E11" s="127">
        <f>ROUND('DEQ Staff Costs'!I17/6,0)</f>
        <v>1390</v>
      </c>
      <c r="F11" s="127">
        <f>ROUND('DEQ Staff Costs'!I27/6,0)</f>
        <v>1390</v>
      </c>
      <c r="G11" s="127">
        <f>ROUND('DEQ Staff Costs'!I37/6,0)</f>
        <v>1390</v>
      </c>
      <c r="H11" s="127">
        <f>ROUND('DEQ Staff Costs'!I47/6,0)</f>
        <v>834</v>
      </c>
      <c r="I11" s="131"/>
      <c r="J11" s="134">
        <f t="shared" si="0"/>
        <v>6354</v>
      </c>
    </row>
    <row r="12" spans="2:39" x14ac:dyDescent="0.25">
      <c r="B12" s="67"/>
      <c r="C12" s="45" t="s">
        <v>12</v>
      </c>
      <c r="D12" s="47">
        <f>SUM(D8:D11)</f>
        <v>8838</v>
      </c>
      <c r="E12" s="47">
        <f t="shared" ref="E12:J12" si="1">SUM(E8:E11)</f>
        <v>9102</v>
      </c>
      <c r="F12" s="47">
        <f t="shared" si="1"/>
        <v>7560</v>
      </c>
      <c r="G12" s="47">
        <f t="shared" si="1"/>
        <v>6532</v>
      </c>
      <c r="H12" s="47">
        <f t="shared" si="1"/>
        <v>5741</v>
      </c>
      <c r="I12" s="44">
        <f t="shared" si="1"/>
        <v>0</v>
      </c>
      <c r="J12" s="47">
        <f t="shared" si="1"/>
        <v>37773</v>
      </c>
    </row>
    <row r="13" spans="2:39" x14ac:dyDescent="0.25">
      <c r="B13" s="67"/>
      <c r="C13" s="48" t="s">
        <v>33</v>
      </c>
      <c r="D13" s="49" t="s">
        <v>32</v>
      </c>
      <c r="E13" s="43"/>
      <c r="F13" s="43"/>
      <c r="G13" s="43"/>
      <c r="H13" s="43"/>
      <c r="I13" s="44"/>
      <c r="J13" s="66"/>
    </row>
    <row r="14" spans="2:39" x14ac:dyDescent="0.25">
      <c r="B14" s="67"/>
      <c r="C14" s="126" t="s">
        <v>127</v>
      </c>
      <c r="D14" s="42">
        <f>ROUND(D12*0.47,0)</f>
        <v>4154</v>
      </c>
      <c r="E14" s="42">
        <f t="shared" ref="E14:H14" si="2">ROUND(E12*0.47,0)</f>
        <v>4278</v>
      </c>
      <c r="F14" s="42">
        <f t="shared" si="2"/>
        <v>3553</v>
      </c>
      <c r="G14" s="42">
        <f t="shared" si="2"/>
        <v>3070</v>
      </c>
      <c r="H14" s="42">
        <f t="shared" si="2"/>
        <v>2698</v>
      </c>
      <c r="I14" s="131"/>
      <c r="J14" s="115">
        <f>SUM(D14:H14)</f>
        <v>17753</v>
      </c>
    </row>
    <row r="15" spans="2:39" x14ac:dyDescent="0.25">
      <c r="B15" s="67"/>
      <c r="C15" s="45" t="s">
        <v>13</v>
      </c>
      <c r="D15" s="133">
        <f t="shared" ref="D15:J15" si="3">SUM(D14:D14)</f>
        <v>4154</v>
      </c>
      <c r="E15" s="133">
        <f t="shared" si="3"/>
        <v>4278</v>
      </c>
      <c r="F15" s="133">
        <f t="shared" si="3"/>
        <v>3553</v>
      </c>
      <c r="G15" s="133">
        <f t="shared" si="3"/>
        <v>3070</v>
      </c>
      <c r="H15" s="133">
        <f t="shared" si="3"/>
        <v>2698</v>
      </c>
      <c r="I15" s="131">
        <f t="shared" si="3"/>
        <v>0</v>
      </c>
      <c r="J15" s="133">
        <f t="shared" si="3"/>
        <v>17753</v>
      </c>
    </row>
    <row r="16" spans="2:39" x14ac:dyDescent="0.25">
      <c r="B16" s="67"/>
      <c r="C16" s="48" t="s">
        <v>34</v>
      </c>
      <c r="D16" s="115" t="s">
        <v>32</v>
      </c>
      <c r="E16" s="132"/>
      <c r="F16" s="132"/>
      <c r="G16" s="132"/>
      <c r="H16" s="132"/>
      <c r="I16" s="131"/>
      <c r="J16" s="134" t="s">
        <v>32</v>
      </c>
    </row>
    <row r="17" spans="2:10" ht="32.25" customHeight="1" x14ac:dyDescent="0.25">
      <c r="B17" s="67"/>
      <c r="C17" s="126" t="s">
        <v>152</v>
      </c>
      <c r="D17" s="115">
        <v>425</v>
      </c>
      <c r="E17" s="115">
        <v>425</v>
      </c>
      <c r="F17" s="115">
        <v>425</v>
      </c>
      <c r="G17" s="115">
        <v>425</v>
      </c>
      <c r="H17" s="115">
        <v>425</v>
      </c>
      <c r="I17" s="131"/>
      <c r="J17" s="115">
        <f>SUM(D17:I17)</f>
        <v>2125</v>
      </c>
    </row>
    <row r="18" spans="2:10" x14ac:dyDescent="0.25">
      <c r="B18" s="67"/>
      <c r="C18" s="45" t="s">
        <v>14</v>
      </c>
      <c r="D18" s="133">
        <f>SUM(D17)</f>
        <v>425</v>
      </c>
      <c r="E18" s="133">
        <f t="shared" ref="E18:H18" si="4">SUM(E17)</f>
        <v>425</v>
      </c>
      <c r="F18" s="133">
        <f t="shared" si="4"/>
        <v>425</v>
      </c>
      <c r="G18" s="133">
        <f t="shared" si="4"/>
        <v>425</v>
      </c>
      <c r="H18" s="133">
        <f t="shared" si="4"/>
        <v>425</v>
      </c>
      <c r="I18" s="131"/>
      <c r="J18" s="133">
        <f>SUM(D18:H18)</f>
        <v>2125</v>
      </c>
    </row>
    <row r="19" spans="2:10" x14ac:dyDescent="0.25">
      <c r="B19" s="67"/>
      <c r="C19" s="48" t="s">
        <v>35</v>
      </c>
      <c r="D19" s="115"/>
      <c r="E19" s="132"/>
      <c r="F19" s="132"/>
      <c r="G19" s="132"/>
      <c r="H19" s="132"/>
      <c r="I19" s="131"/>
      <c r="J19" s="115" t="s">
        <v>20</v>
      </c>
    </row>
    <row r="20" spans="2:10" x14ac:dyDescent="0.25">
      <c r="B20" s="67" t="s">
        <v>36</v>
      </c>
      <c r="C20" s="68"/>
      <c r="D20" s="115"/>
      <c r="E20" s="115"/>
      <c r="F20" s="115"/>
      <c r="G20" s="132"/>
      <c r="H20" s="132"/>
      <c r="I20" s="131"/>
      <c r="J20" s="115"/>
    </row>
    <row r="21" spans="2:10" x14ac:dyDescent="0.25">
      <c r="B21" s="67"/>
      <c r="C21" s="45" t="s">
        <v>15</v>
      </c>
      <c r="D21" s="135">
        <f>SUM(D19:D20)</f>
        <v>0</v>
      </c>
      <c r="E21" s="135">
        <f>SUM(E19:E20)</f>
        <v>0</v>
      </c>
      <c r="F21" s="135">
        <f>SUM(F19:F20)</f>
        <v>0</v>
      </c>
      <c r="G21" s="135">
        <f>SUM(G20:G20)</f>
        <v>0</v>
      </c>
      <c r="H21" s="135">
        <f>SUM(H20:H20)</f>
        <v>0</v>
      </c>
      <c r="I21" s="131"/>
      <c r="J21" s="133">
        <f t="shared" ref="J21:J35" si="5">SUM(D21:H21)</f>
        <v>0</v>
      </c>
    </row>
    <row r="22" spans="2:10" x14ac:dyDescent="0.25">
      <c r="B22" s="67"/>
      <c r="C22" s="48" t="s">
        <v>37</v>
      </c>
      <c r="D22" s="115">
        <v>0</v>
      </c>
      <c r="E22" s="132"/>
      <c r="F22" s="132"/>
      <c r="G22" s="132"/>
      <c r="H22" s="132"/>
      <c r="I22" s="131"/>
      <c r="J22" s="115"/>
    </row>
    <row r="23" spans="2:10" x14ac:dyDescent="0.25">
      <c r="B23" s="67"/>
      <c r="C23" s="41"/>
      <c r="D23" s="127">
        <v>0</v>
      </c>
      <c r="E23" s="127">
        <v>0</v>
      </c>
      <c r="F23" s="127">
        <v>0</v>
      </c>
      <c r="G23" s="127">
        <v>0</v>
      </c>
      <c r="H23" s="127">
        <v>0</v>
      </c>
      <c r="I23" s="131"/>
      <c r="J23" s="115">
        <f>SUM(D23:I23)</f>
        <v>0</v>
      </c>
    </row>
    <row r="24" spans="2:10" x14ac:dyDescent="0.25">
      <c r="B24" s="67"/>
      <c r="C24" s="45" t="s">
        <v>16</v>
      </c>
      <c r="D24" s="133">
        <f>SUM(D23:D23)</f>
        <v>0</v>
      </c>
      <c r="E24" s="133">
        <f>SUM(E23:E23)</f>
        <v>0</v>
      </c>
      <c r="F24" s="133">
        <f>SUM(F23:F23)</f>
        <v>0</v>
      </c>
      <c r="G24" s="133">
        <f>SUM(G23:G23)</f>
        <v>0</v>
      </c>
      <c r="H24" s="133">
        <f>SUM(H23:H23)</f>
        <v>0</v>
      </c>
      <c r="I24" s="131"/>
      <c r="J24" s="133">
        <f t="shared" si="5"/>
        <v>0</v>
      </c>
    </row>
    <row r="25" spans="2:10" x14ac:dyDescent="0.25">
      <c r="B25" s="67"/>
      <c r="C25" s="48" t="s">
        <v>38</v>
      </c>
      <c r="D25" s="115">
        <v>0</v>
      </c>
      <c r="E25" s="132"/>
      <c r="F25" s="132"/>
      <c r="G25" s="132"/>
      <c r="H25" s="132"/>
      <c r="I25" s="131"/>
      <c r="J25" s="115"/>
    </row>
    <row r="26" spans="2:10" x14ac:dyDescent="0.25">
      <c r="B26" s="67"/>
      <c r="C26" s="41"/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31"/>
      <c r="J26" s="115">
        <f>SUM(D26:I26)</f>
        <v>0</v>
      </c>
    </row>
    <row r="27" spans="2:10" x14ac:dyDescent="0.25">
      <c r="B27" s="67"/>
      <c r="C27" s="45" t="s">
        <v>17</v>
      </c>
      <c r="D27" s="133">
        <f>SUM(D26:D26)</f>
        <v>0</v>
      </c>
      <c r="E27" s="133">
        <f>SUM(E26:E26)</f>
        <v>0</v>
      </c>
      <c r="F27" s="133">
        <f>SUM(F26:F26)</f>
        <v>0</v>
      </c>
      <c r="G27" s="133">
        <f>SUM(G26:G26)</f>
        <v>0</v>
      </c>
      <c r="H27" s="133">
        <f>SUM(H26:H26)</f>
        <v>0</v>
      </c>
      <c r="I27" s="131"/>
      <c r="J27" s="133">
        <f t="shared" si="5"/>
        <v>0</v>
      </c>
    </row>
    <row r="28" spans="2:10" x14ac:dyDescent="0.25">
      <c r="B28" s="67"/>
      <c r="C28" s="48" t="s">
        <v>39</v>
      </c>
      <c r="D28" s="115" t="s">
        <v>32</v>
      </c>
      <c r="E28" s="132"/>
      <c r="F28" s="132"/>
      <c r="G28" s="132"/>
      <c r="H28" s="132"/>
      <c r="I28" s="131"/>
      <c r="J28" s="115"/>
    </row>
    <row r="29" spans="2:10" x14ac:dyDescent="0.25">
      <c r="B29" s="67"/>
      <c r="C29" s="41" t="s">
        <v>135</v>
      </c>
      <c r="D29" s="115"/>
      <c r="E29" s="115"/>
      <c r="F29" s="115"/>
      <c r="G29" s="115"/>
      <c r="H29" s="115"/>
      <c r="I29" s="131">
        <v>375000</v>
      </c>
      <c r="J29" s="115"/>
    </row>
    <row r="30" spans="2:10" x14ac:dyDescent="0.25">
      <c r="B30" s="67"/>
      <c r="C30" s="41" t="s">
        <v>123</v>
      </c>
      <c r="D30" s="115"/>
      <c r="E30" s="115"/>
      <c r="F30" s="115"/>
      <c r="G30" s="115"/>
      <c r="H30" s="115"/>
      <c r="I30" s="131">
        <v>781250</v>
      </c>
      <c r="J30" s="115"/>
    </row>
    <row r="31" spans="2:10" x14ac:dyDescent="0.25">
      <c r="B31" s="67"/>
      <c r="C31" s="118" t="s">
        <v>68</v>
      </c>
      <c r="D31" s="115">
        <v>0</v>
      </c>
      <c r="E31" s="115">
        <v>2269400</v>
      </c>
      <c r="F31" s="115">
        <v>5673500</v>
      </c>
      <c r="G31" s="115">
        <v>0</v>
      </c>
      <c r="H31" s="115">
        <v>0</v>
      </c>
      <c r="I31" s="131">
        <v>2083335</v>
      </c>
      <c r="J31" s="115">
        <f>SUM(D31:H31)</f>
        <v>7942900</v>
      </c>
    </row>
    <row r="32" spans="2:10" x14ac:dyDescent="0.25">
      <c r="B32" s="67"/>
      <c r="C32" s="41" t="s">
        <v>66</v>
      </c>
      <c r="D32" s="115">
        <v>0</v>
      </c>
      <c r="E32" s="115">
        <v>1702050</v>
      </c>
      <c r="F32" s="115">
        <v>702050</v>
      </c>
      <c r="G32" s="115">
        <v>0</v>
      </c>
      <c r="H32" s="115">
        <v>0</v>
      </c>
      <c r="I32" s="131"/>
      <c r="J32" s="115">
        <f t="shared" ref="J32:J33" si="6">SUM(D32:H32)</f>
        <v>2404100</v>
      </c>
    </row>
    <row r="33" spans="2:11" x14ac:dyDescent="0.25">
      <c r="B33" s="67"/>
      <c r="C33" s="41" t="s">
        <v>72</v>
      </c>
      <c r="D33" s="115">
        <v>0</v>
      </c>
      <c r="E33" s="115">
        <v>600000</v>
      </c>
      <c r="F33" s="115">
        <v>400000</v>
      </c>
      <c r="G33" s="115">
        <v>0</v>
      </c>
      <c r="H33" s="115">
        <v>0</v>
      </c>
      <c r="I33" s="131"/>
      <c r="J33" s="115">
        <f t="shared" si="6"/>
        <v>1000000</v>
      </c>
    </row>
    <row r="34" spans="2:11" x14ac:dyDescent="0.25">
      <c r="B34" s="69"/>
      <c r="C34" s="45" t="s">
        <v>18</v>
      </c>
      <c r="D34" s="133">
        <f>SUM(D31:D33)</f>
        <v>0</v>
      </c>
      <c r="E34" s="133">
        <f t="shared" ref="E34:H34" si="7">SUM(E31:E33)</f>
        <v>4571450</v>
      </c>
      <c r="F34" s="133">
        <f t="shared" si="7"/>
        <v>6775550</v>
      </c>
      <c r="G34" s="133">
        <f t="shared" si="7"/>
        <v>0</v>
      </c>
      <c r="H34" s="133">
        <f t="shared" si="7"/>
        <v>0</v>
      </c>
      <c r="I34" s="131"/>
      <c r="J34" s="133">
        <f t="shared" si="5"/>
        <v>11347000</v>
      </c>
    </row>
    <row r="35" spans="2:11" x14ac:dyDescent="0.25">
      <c r="B35" s="69"/>
      <c r="C35" s="45" t="s">
        <v>19</v>
      </c>
      <c r="D35" s="133">
        <f>SUM(D34,D27,D24,D21,D18,D15,D12)</f>
        <v>13417</v>
      </c>
      <c r="E35" s="133">
        <f>SUM(E34,E27,E24,E21,E18,E15,E12)</f>
        <v>4585255</v>
      </c>
      <c r="F35" s="133">
        <f>SUM(F34,F27,F24,F21,F18,F15,F12)</f>
        <v>6787088</v>
      </c>
      <c r="G35" s="133">
        <f>SUM(G34,G27,G24,G21,G18,G15,G12)</f>
        <v>10027</v>
      </c>
      <c r="H35" s="133">
        <f>SUM(H34,H27,H24,H21,H18,H15,H12)</f>
        <v>8864</v>
      </c>
      <c r="I35" s="131"/>
      <c r="J35" s="133">
        <f t="shared" si="5"/>
        <v>11404651</v>
      </c>
      <c r="K35" s="19"/>
    </row>
    <row r="36" spans="2:11" x14ac:dyDescent="0.25">
      <c r="B36" s="54"/>
      <c r="C36" s="44"/>
      <c r="D36" s="131"/>
      <c r="E36" s="131"/>
      <c r="F36" s="131"/>
      <c r="G36" s="131"/>
      <c r="H36" s="131"/>
      <c r="I36" s="131"/>
      <c r="J36" s="131" t="s">
        <v>20</v>
      </c>
    </row>
    <row r="37" spans="2:11" x14ac:dyDescent="0.25">
      <c r="B37" s="117" t="s">
        <v>40</v>
      </c>
      <c r="C37" s="70" t="s">
        <v>40</v>
      </c>
      <c r="D37" s="134"/>
      <c r="E37" s="134"/>
      <c r="F37" s="134"/>
      <c r="G37" s="134"/>
      <c r="H37" s="134"/>
      <c r="I37" s="131"/>
      <c r="J37" s="134" t="s">
        <v>20</v>
      </c>
    </row>
    <row r="38" spans="2:11" ht="30" x14ac:dyDescent="0.25">
      <c r="B38" s="67"/>
      <c r="C38" s="128" t="s">
        <v>128</v>
      </c>
      <c r="D38" s="115">
        <f>ROUND(D12*0.385,0)</f>
        <v>3403</v>
      </c>
      <c r="E38" s="115">
        <f t="shared" ref="E38:H38" si="8">ROUND(E12*0.385,0)</f>
        <v>3504</v>
      </c>
      <c r="F38" s="115">
        <f>ROUND(F12*0.385,0)</f>
        <v>2911</v>
      </c>
      <c r="G38" s="115">
        <f t="shared" si="8"/>
        <v>2515</v>
      </c>
      <c r="H38" s="115">
        <f t="shared" si="8"/>
        <v>2210</v>
      </c>
      <c r="I38" s="131"/>
      <c r="J38" s="115">
        <f>SUM(D38:H38)</f>
        <v>14543</v>
      </c>
    </row>
    <row r="39" spans="2:11" x14ac:dyDescent="0.25">
      <c r="B39" s="69"/>
      <c r="C39" s="45" t="s">
        <v>21</v>
      </c>
      <c r="D39" s="133">
        <f>SUM(D38:D38)</f>
        <v>3403</v>
      </c>
      <c r="E39" s="133">
        <f>SUM(E38:E38)</f>
        <v>3504</v>
      </c>
      <c r="F39" s="133">
        <f>SUM(F38:F38)</f>
        <v>2911</v>
      </c>
      <c r="G39" s="133">
        <f>SUM(G38:G38)</f>
        <v>2515</v>
      </c>
      <c r="H39" s="133">
        <f>SUM(H38:H38)</f>
        <v>2210</v>
      </c>
      <c r="I39" s="131"/>
      <c r="J39" s="133">
        <f t="shared" ref="J39" si="9">SUM(D39:H39)</f>
        <v>14543</v>
      </c>
    </row>
    <row r="40" spans="2:11" ht="15.75" thickBot="1" x14ac:dyDescent="0.3">
      <c r="B40" s="54"/>
      <c r="C40" s="44"/>
      <c r="D40" s="44"/>
      <c r="E40" s="44"/>
      <c r="F40" s="44"/>
      <c r="G40" s="44"/>
      <c r="H40" s="44"/>
      <c r="I40" s="44"/>
      <c r="J40" s="44" t="s">
        <v>20</v>
      </c>
    </row>
    <row r="41" spans="2:11" s="1" customFormat="1" ht="30.75" thickBot="1" x14ac:dyDescent="0.3">
      <c r="B41" s="51" t="s">
        <v>22</v>
      </c>
      <c r="C41" s="51"/>
      <c r="D41" s="52">
        <f t="shared" ref="D41:J41" si="10">SUM(D39,D35)</f>
        <v>16820</v>
      </c>
      <c r="E41" s="52">
        <f t="shared" si="10"/>
        <v>4588759</v>
      </c>
      <c r="F41" s="52">
        <f t="shared" si="10"/>
        <v>6789999</v>
      </c>
      <c r="G41" s="52">
        <f t="shared" si="10"/>
        <v>12542</v>
      </c>
      <c r="H41" s="52">
        <f t="shared" si="10"/>
        <v>11074</v>
      </c>
      <c r="I41" s="44">
        <f t="shared" si="10"/>
        <v>0</v>
      </c>
      <c r="J41" s="52">
        <f t="shared" si="10"/>
        <v>11419194</v>
      </c>
    </row>
    <row r="42" spans="2:11" x14ac:dyDescent="0.25">
      <c r="B42" s="6"/>
    </row>
    <row r="43" spans="2:11" x14ac:dyDescent="0.25">
      <c r="B43" s="6"/>
    </row>
    <row r="44" spans="2:11" x14ac:dyDescent="0.25">
      <c r="B44" s="6"/>
    </row>
    <row r="45" spans="2:11" x14ac:dyDescent="0.25">
      <c r="B45" s="6"/>
    </row>
    <row r="46" spans="2:11" x14ac:dyDescent="0.25">
      <c r="B46" s="6"/>
    </row>
    <row r="47" spans="2:11" x14ac:dyDescent="0.25">
      <c r="B47" s="6"/>
    </row>
    <row r="48" spans="2:11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</sheetData>
  <pageMargins left="0.7" right="0.7" top="0.75" bottom="0.75" header="0.3" footer="0.3"/>
  <pageSetup orientation="portrait"/>
  <ignoredErrors>
    <ignoredError sqref="J31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9EC78-1D86-4FC0-A632-E58950CAC311}">
  <sheetPr>
    <tabColor theme="0" tint="-0.499984740745262"/>
  </sheetPr>
  <dimension ref="B2:AM66"/>
  <sheetViews>
    <sheetView showGridLines="0" zoomScale="85" zoomScaleNormal="85" workbookViewId="0">
      <pane xSplit="3" ySplit="6" topLeftCell="D23" activePane="bottomRight" state="frozen"/>
      <selection activeCell="G1" sqref="G1:G1048576"/>
      <selection pane="topRight" activeCell="G1" sqref="G1:G1048576"/>
      <selection pane="bottomLeft" activeCell="G1" sqref="G1:G1048576"/>
      <selection pane="bottomRight" activeCell="G1" sqref="G1:G1048576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hidden="1" customWidth="1"/>
    <col min="5" max="5" width="12.5703125" style="2" hidden="1" customWidth="1"/>
    <col min="6" max="7" width="12.42578125" hidden="1" customWidth="1"/>
    <col min="8" max="8" width="12.5703125" style="2" customWidth="1"/>
    <col min="9" max="9" width="0.85546875" style="7" customWidth="1"/>
    <col min="10" max="10" width="13.5703125" customWidth="1"/>
    <col min="11" max="11" width="11.85546875" bestFit="1" customWidth="1"/>
  </cols>
  <sheetData>
    <row r="2" spans="2:39" ht="23.25" x14ac:dyDescent="0.35">
      <c r="B2" s="15" t="s">
        <v>29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20" t="s">
        <v>2</v>
      </c>
      <c r="C5" s="21"/>
      <c r="D5" s="21"/>
      <c r="E5" s="21"/>
      <c r="F5" s="21"/>
      <c r="G5" s="21"/>
      <c r="H5" s="21"/>
      <c r="I5" s="21"/>
      <c r="J5" s="22"/>
    </row>
    <row r="6" spans="2:39" x14ac:dyDescent="0.25">
      <c r="B6" s="23" t="s">
        <v>3</v>
      </c>
      <c r="C6" s="23" t="s">
        <v>4</v>
      </c>
      <c r="D6" s="23" t="s">
        <v>5</v>
      </c>
      <c r="E6" s="24" t="s">
        <v>6</v>
      </c>
      <c r="F6" s="24" t="s">
        <v>7</v>
      </c>
      <c r="G6" s="24" t="s">
        <v>8</v>
      </c>
      <c r="H6" s="25" t="s">
        <v>9</v>
      </c>
      <c r="I6" s="26"/>
      <c r="J6" s="27" t="s">
        <v>10</v>
      </c>
    </row>
    <row r="7" spans="2:39" s="5" customFormat="1" x14ac:dyDescent="0.25">
      <c r="B7" s="117" t="s">
        <v>11</v>
      </c>
      <c r="C7" s="65" t="s">
        <v>31</v>
      </c>
      <c r="D7" s="43" t="s">
        <v>32</v>
      </c>
      <c r="E7" s="43" t="s">
        <v>32</v>
      </c>
      <c r="F7" s="43" t="s">
        <v>32</v>
      </c>
      <c r="G7" s="43"/>
      <c r="H7" s="43" t="s">
        <v>32</v>
      </c>
      <c r="I7" s="44"/>
      <c r="J7" s="66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7"/>
      <c r="C8" s="41" t="s">
        <v>129</v>
      </c>
      <c r="D8" s="127">
        <f>ROUND('DEQ Staff Costs'!I4/6,0)</f>
        <v>2977</v>
      </c>
      <c r="E8" s="127">
        <f>ROUND('DEQ Staff Costs'!I14/6,0)</f>
        <v>3066</v>
      </c>
      <c r="F8" s="127">
        <f>ROUND('DEQ Staff Costs'!I24/6,0)</f>
        <v>2453</v>
      </c>
      <c r="G8" s="127">
        <f>ROUND('DEQ Staff Costs'!I34/6,0)</f>
        <v>2044</v>
      </c>
      <c r="H8" s="127">
        <f>ROUND('DEQ Staff Costs'!I44/6,0)</f>
        <v>2044</v>
      </c>
      <c r="I8" s="50"/>
      <c r="J8" s="42">
        <f>SUM(D8:H8)</f>
        <v>12584</v>
      </c>
    </row>
    <row r="9" spans="2:39" x14ac:dyDescent="0.25">
      <c r="B9" s="67"/>
      <c r="C9" s="41" t="s">
        <v>130</v>
      </c>
      <c r="D9" s="127">
        <f>ROUND('DEQ Staff Costs'!I5/6,0)</f>
        <v>2751</v>
      </c>
      <c r="E9" s="127">
        <f>ROUND('DEQ Staff Costs'!I15/6,0)</f>
        <v>2833</v>
      </c>
      <c r="F9" s="127">
        <f>ROUND('DEQ Staff Costs'!I25/6,0)</f>
        <v>2267</v>
      </c>
      <c r="G9" s="127">
        <f>ROUND('DEQ Staff Costs'!I35/6,0)</f>
        <v>1889</v>
      </c>
      <c r="H9" s="127">
        <f>ROUND('DEQ Staff Costs'!I45/6,0)</f>
        <v>1889</v>
      </c>
      <c r="I9" s="44"/>
      <c r="J9" s="42">
        <f t="shared" ref="J9:J11" si="0">SUM(D9:H9)</f>
        <v>11629</v>
      </c>
    </row>
    <row r="10" spans="2:39" x14ac:dyDescent="0.25">
      <c r="B10" s="67"/>
      <c r="C10" s="41" t="s">
        <v>131</v>
      </c>
      <c r="D10" s="127">
        <f>ROUND('DEQ Staff Costs'!I6/6,0)</f>
        <v>1760</v>
      </c>
      <c r="E10" s="127">
        <f>ROUND('DEQ Staff Costs'!I16/6,0)</f>
        <v>1813</v>
      </c>
      <c r="F10" s="127">
        <f>ROUND('DEQ Staff Costs'!I26/6,0)</f>
        <v>1450</v>
      </c>
      <c r="G10" s="127">
        <f>ROUND('DEQ Staff Costs'!I36/6,0)</f>
        <v>1209</v>
      </c>
      <c r="H10" s="127">
        <f>ROUND('DEQ Staff Costs'!I46/6,0)</f>
        <v>974</v>
      </c>
      <c r="I10" s="44"/>
      <c r="J10" s="42">
        <f t="shared" si="0"/>
        <v>7206</v>
      </c>
    </row>
    <row r="11" spans="2:39" x14ac:dyDescent="0.25">
      <c r="B11" s="67"/>
      <c r="C11" s="41" t="s">
        <v>132</v>
      </c>
      <c r="D11" s="127">
        <f>ROUND('DEQ Staff Costs'!I7/6,0)</f>
        <v>1350</v>
      </c>
      <c r="E11" s="127">
        <f>ROUND('DEQ Staff Costs'!I17/6,0)</f>
        <v>1390</v>
      </c>
      <c r="F11" s="127">
        <f>ROUND('DEQ Staff Costs'!I27/6,0)</f>
        <v>1390</v>
      </c>
      <c r="G11" s="127">
        <f>ROUND('DEQ Staff Costs'!I37/6,0)</f>
        <v>1390</v>
      </c>
      <c r="H11" s="127">
        <f>ROUND('DEQ Staff Costs'!I47/6,0)</f>
        <v>834</v>
      </c>
      <c r="I11" s="44"/>
      <c r="J11" s="42">
        <f t="shared" si="0"/>
        <v>6354</v>
      </c>
    </row>
    <row r="12" spans="2:39" x14ac:dyDescent="0.25">
      <c r="B12" s="67"/>
      <c r="C12" s="45" t="s">
        <v>12</v>
      </c>
      <c r="D12" s="47">
        <f>SUM(D8:D11)</f>
        <v>8838</v>
      </c>
      <c r="E12" s="47">
        <f t="shared" ref="E12:J12" si="1">SUM(E8:E11)</f>
        <v>9102</v>
      </c>
      <c r="F12" s="47">
        <f t="shared" si="1"/>
        <v>7560</v>
      </c>
      <c r="G12" s="47">
        <f t="shared" si="1"/>
        <v>6532</v>
      </c>
      <c r="H12" s="47">
        <f t="shared" si="1"/>
        <v>5741</v>
      </c>
      <c r="I12" s="44">
        <f t="shared" si="1"/>
        <v>0</v>
      </c>
      <c r="J12" s="47">
        <f t="shared" si="1"/>
        <v>37773</v>
      </c>
    </row>
    <row r="13" spans="2:39" x14ac:dyDescent="0.25">
      <c r="B13" s="67"/>
      <c r="C13" s="48" t="s">
        <v>33</v>
      </c>
      <c r="D13" s="49" t="s">
        <v>32</v>
      </c>
      <c r="E13" s="43"/>
      <c r="F13" s="43"/>
      <c r="G13" s="43"/>
      <c r="H13" s="43"/>
      <c r="I13" s="44"/>
      <c r="J13" s="66" t="s">
        <v>32</v>
      </c>
    </row>
    <row r="14" spans="2:39" x14ac:dyDescent="0.25">
      <c r="B14" s="67"/>
      <c r="C14" s="126" t="s">
        <v>127</v>
      </c>
      <c r="D14" s="42">
        <f>ROUND(D12*0.47,0)</f>
        <v>4154</v>
      </c>
      <c r="E14" s="42">
        <f t="shared" ref="E14:H14" si="2">ROUND(E12*0.47,0)</f>
        <v>4278</v>
      </c>
      <c r="F14" s="42">
        <f t="shared" si="2"/>
        <v>3553</v>
      </c>
      <c r="G14" s="42">
        <f t="shared" si="2"/>
        <v>3070</v>
      </c>
      <c r="H14" s="42">
        <f t="shared" si="2"/>
        <v>2698</v>
      </c>
      <c r="I14" s="44"/>
      <c r="J14" s="42">
        <f>SUM(D14:I14)</f>
        <v>17753</v>
      </c>
    </row>
    <row r="15" spans="2:39" x14ac:dyDescent="0.25">
      <c r="B15" s="67"/>
      <c r="C15" s="45" t="s">
        <v>13</v>
      </c>
      <c r="D15" s="47">
        <f t="shared" ref="D15:J15" si="3">SUM(D14:D14)</f>
        <v>4154</v>
      </c>
      <c r="E15" s="47">
        <f t="shared" si="3"/>
        <v>4278</v>
      </c>
      <c r="F15" s="47">
        <f t="shared" si="3"/>
        <v>3553</v>
      </c>
      <c r="G15" s="47">
        <f t="shared" si="3"/>
        <v>3070</v>
      </c>
      <c r="H15" s="47">
        <f t="shared" si="3"/>
        <v>2698</v>
      </c>
      <c r="I15" s="44">
        <f t="shared" si="3"/>
        <v>0</v>
      </c>
      <c r="J15" s="47">
        <f t="shared" si="3"/>
        <v>17753</v>
      </c>
    </row>
    <row r="16" spans="2:39" x14ac:dyDescent="0.25">
      <c r="B16" s="67"/>
      <c r="C16" s="48" t="s">
        <v>34</v>
      </c>
      <c r="D16" s="49" t="s">
        <v>32</v>
      </c>
      <c r="E16" s="43"/>
      <c r="F16" s="43"/>
      <c r="G16" s="43"/>
      <c r="H16" s="43"/>
      <c r="I16" s="44"/>
      <c r="J16" s="66" t="s">
        <v>32</v>
      </c>
    </row>
    <row r="17" spans="2:10" ht="30" x14ac:dyDescent="0.25">
      <c r="B17" s="67"/>
      <c r="C17" s="41" t="s">
        <v>146</v>
      </c>
      <c r="D17" s="115">
        <v>425</v>
      </c>
      <c r="E17" s="115">
        <v>425</v>
      </c>
      <c r="F17" s="115">
        <v>425</v>
      </c>
      <c r="G17" s="115">
        <v>425</v>
      </c>
      <c r="H17" s="115">
        <v>425</v>
      </c>
      <c r="I17" s="44"/>
      <c r="J17" s="42">
        <f>SUM(D17:I17)</f>
        <v>2125</v>
      </c>
    </row>
    <row r="18" spans="2:10" x14ac:dyDescent="0.25">
      <c r="B18" s="67"/>
      <c r="C18" s="45" t="s">
        <v>14</v>
      </c>
      <c r="D18" s="47">
        <f>SUM(D17)</f>
        <v>425</v>
      </c>
      <c r="E18" s="47">
        <f t="shared" ref="E18:H18" si="4">SUM(E17)</f>
        <v>425</v>
      </c>
      <c r="F18" s="47">
        <f t="shared" si="4"/>
        <v>425</v>
      </c>
      <c r="G18" s="47">
        <f t="shared" si="4"/>
        <v>425</v>
      </c>
      <c r="H18" s="47">
        <f t="shared" si="4"/>
        <v>425</v>
      </c>
      <c r="I18" s="44"/>
      <c r="J18" s="47">
        <f>SUM(D18:H18)</f>
        <v>2125</v>
      </c>
    </row>
    <row r="19" spans="2:10" x14ac:dyDescent="0.25">
      <c r="B19" s="67"/>
      <c r="C19" s="48" t="s">
        <v>35</v>
      </c>
      <c r="D19" s="42">
        <v>0</v>
      </c>
      <c r="E19" s="43"/>
      <c r="F19" s="43"/>
      <c r="G19" s="43"/>
      <c r="H19" s="43"/>
      <c r="I19" s="44"/>
      <c r="J19" s="42" t="s">
        <v>20</v>
      </c>
    </row>
    <row r="20" spans="2:10" x14ac:dyDescent="0.25">
      <c r="B20" s="67"/>
      <c r="C20" s="68"/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131"/>
      <c r="J20" s="115">
        <f>SUM(D20:I20)</f>
        <v>0</v>
      </c>
    </row>
    <row r="21" spans="2:10" x14ac:dyDescent="0.25">
      <c r="B21" s="67"/>
      <c r="C21" s="45" t="s">
        <v>15</v>
      </c>
      <c r="D21" s="46">
        <f>SUM(D19:D20)</f>
        <v>0</v>
      </c>
      <c r="E21" s="46">
        <f>SUM(E19:E20)</f>
        <v>0</v>
      </c>
      <c r="F21" s="46">
        <f>SUM(F19:F20)</f>
        <v>0</v>
      </c>
      <c r="G21" s="46">
        <f>SUM(G20:G20)</f>
        <v>0</v>
      </c>
      <c r="H21" s="46">
        <f>SUM(H20:H20)</f>
        <v>0</v>
      </c>
      <c r="I21" s="44"/>
      <c r="J21" s="47">
        <f t="shared" ref="J21:J45" si="5">SUM(D21:H21)</f>
        <v>0</v>
      </c>
    </row>
    <row r="22" spans="2:10" x14ac:dyDescent="0.25">
      <c r="B22" s="67"/>
      <c r="C22" s="48" t="s">
        <v>37</v>
      </c>
      <c r="D22" s="42">
        <v>0</v>
      </c>
      <c r="E22" s="42"/>
      <c r="F22" s="42"/>
      <c r="G22" s="42"/>
      <c r="H22" s="42"/>
      <c r="I22" s="44"/>
      <c r="J22" s="42"/>
    </row>
    <row r="23" spans="2:10" x14ac:dyDescent="0.25">
      <c r="B23" s="67"/>
      <c r="C23" s="41"/>
      <c r="D23" s="127">
        <v>0</v>
      </c>
      <c r="E23" s="127">
        <v>0</v>
      </c>
      <c r="F23" s="127">
        <v>0</v>
      </c>
      <c r="G23" s="127">
        <v>0</v>
      </c>
      <c r="H23" s="127">
        <v>0</v>
      </c>
      <c r="I23" s="44"/>
      <c r="J23" s="42">
        <f>SUM(D23:I23)</f>
        <v>0</v>
      </c>
    </row>
    <row r="24" spans="2:10" x14ac:dyDescent="0.25">
      <c r="B24" s="67"/>
      <c r="C24" s="45" t="s">
        <v>16</v>
      </c>
      <c r="D24" s="47">
        <f>SUM(D23:D23)</f>
        <v>0</v>
      </c>
      <c r="E24" s="47">
        <f>SUM(E23:E23)</f>
        <v>0</v>
      </c>
      <c r="F24" s="47">
        <f>SUM(F23:F23)</f>
        <v>0</v>
      </c>
      <c r="G24" s="47">
        <f>SUM(G23:G23)</f>
        <v>0</v>
      </c>
      <c r="H24" s="47">
        <f>SUM(H23:H23)</f>
        <v>0</v>
      </c>
      <c r="I24" s="44"/>
      <c r="J24" s="47">
        <f t="shared" si="5"/>
        <v>0</v>
      </c>
    </row>
    <row r="25" spans="2:10" x14ac:dyDescent="0.25">
      <c r="B25" s="67"/>
      <c r="C25" s="48" t="s">
        <v>38</v>
      </c>
      <c r="D25" s="42">
        <v>0</v>
      </c>
      <c r="E25" s="42"/>
      <c r="F25" s="42"/>
      <c r="G25" s="42"/>
      <c r="H25" s="42"/>
      <c r="I25" s="44"/>
      <c r="J25" s="42"/>
    </row>
    <row r="26" spans="2:10" x14ac:dyDescent="0.25">
      <c r="B26" s="67"/>
      <c r="C26" s="41"/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31"/>
      <c r="J26" s="115">
        <f>SUM(D26:I26)</f>
        <v>0</v>
      </c>
    </row>
    <row r="27" spans="2:10" x14ac:dyDescent="0.25">
      <c r="B27" s="67"/>
      <c r="C27" s="45" t="s">
        <v>17</v>
      </c>
      <c r="D27" s="47">
        <f>SUM(D26:D26)</f>
        <v>0</v>
      </c>
      <c r="E27" s="47">
        <f>SUM(E26:E26)</f>
        <v>0</v>
      </c>
      <c r="F27" s="47">
        <f>SUM(F26:F26)</f>
        <v>0</v>
      </c>
      <c r="G27" s="47">
        <f>SUM(G26:G26)</f>
        <v>0</v>
      </c>
      <c r="H27" s="47">
        <f>SUM(H26:H26)</f>
        <v>0</v>
      </c>
      <c r="I27" s="44"/>
      <c r="J27" s="47">
        <f t="shared" si="5"/>
        <v>0</v>
      </c>
    </row>
    <row r="28" spans="2:10" x14ac:dyDescent="0.25">
      <c r="B28" s="67"/>
      <c r="C28" s="48" t="s">
        <v>39</v>
      </c>
      <c r="D28" s="49" t="s">
        <v>32</v>
      </c>
      <c r="E28" s="43"/>
      <c r="F28" s="43"/>
      <c r="G28" s="43"/>
      <c r="H28" s="43"/>
      <c r="I28" s="44"/>
      <c r="J28" s="42"/>
    </row>
    <row r="29" spans="2:10" x14ac:dyDescent="0.25">
      <c r="B29" s="67"/>
      <c r="C29" s="41" t="s">
        <v>135</v>
      </c>
      <c r="D29" s="49"/>
      <c r="E29" s="43"/>
      <c r="F29" s="43"/>
      <c r="G29" s="43"/>
      <c r="H29" s="43"/>
      <c r="I29" s="44"/>
      <c r="J29" s="42"/>
    </row>
    <row r="30" spans="2:10" x14ac:dyDescent="0.25">
      <c r="B30" s="67"/>
      <c r="C30" s="41" t="s">
        <v>123</v>
      </c>
      <c r="D30" s="49"/>
      <c r="E30" s="43"/>
      <c r="F30" s="43"/>
      <c r="G30" s="43"/>
      <c r="H30" s="43"/>
      <c r="I30" s="44"/>
      <c r="J30" s="42"/>
    </row>
    <row r="31" spans="2:10" x14ac:dyDescent="0.25">
      <c r="B31" s="67"/>
      <c r="C31" s="68" t="s">
        <v>55</v>
      </c>
      <c r="D31" s="42">
        <v>289800</v>
      </c>
      <c r="E31" s="42">
        <v>1490400</v>
      </c>
      <c r="F31" s="42">
        <v>1117800</v>
      </c>
      <c r="G31" s="132">
        <v>0</v>
      </c>
      <c r="H31" s="132">
        <v>0</v>
      </c>
      <c r="I31" s="44"/>
      <c r="J31" s="42">
        <f>SUM(D31:H31)</f>
        <v>2898000</v>
      </c>
    </row>
    <row r="32" spans="2:10" x14ac:dyDescent="0.25">
      <c r="B32" s="67"/>
      <c r="C32" s="68" t="s">
        <v>73</v>
      </c>
      <c r="D32" s="42">
        <v>2520000</v>
      </c>
      <c r="E32" s="42">
        <v>10800000</v>
      </c>
      <c r="F32" s="42">
        <v>11880000</v>
      </c>
      <c r="G32" s="132">
        <v>0</v>
      </c>
      <c r="H32" s="132">
        <v>0</v>
      </c>
      <c r="I32" s="44"/>
      <c r="J32" s="42">
        <f t="shared" ref="J32:J43" si="6">SUM(D32:H32)</f>
        <v>25200000</v>
      </c>
    </row>
    <row r="33" spans="2:11" x14ac:dyDescent="0.25">
      <c r="B33" s="67"/>
      <c r="C33" s="68" t="s">
        <v>53</v>
      </c>
      <c r="D33" s="42">
        <v>204000</v>
      </c>
      <c r="E33" s="42">
        <v>864000</v>
      </c>
      <c r="F33" s="42">
        <v>972000</v>
      </c>
      <c r="G33" s="132">
        <v>0</v>
      </c>
      <c r="H33" s="132">
        <v>0</v>
      </c>
      <c r="I33" s="44"/>
      <c r="J33" s="42">
        <f t="shared" si="6"/>
        <v>2040000</v>
      </c>
    </row>
    <row r="34" spans="2:11" x14ac:dyDescent="0.25">
      <c r="B34" s="67"/>
      <c r="C34" s="68" t="s">
        <v>52</v>
      </c>
      <c r="D34" s="42">
        <v>880000</v>
      </c>
      <c r="E34" s="42">
        <v>2640000</v>
      </c>
      <c r="F34" s="42">
        <v>5280000</v>
      </c>
      <c r="G34" s="132">
        <v>0</v>
      </c>
      <c r="H34" s="132">
        <v>0</v>
      </c>
      <c r="I34" s="44"/>
      <c r="J34" s="42">
        <f t="shared" si="6"/>
        <v>8800000</v>
      </c>
    </row>
    <row r="35" spans="2:11" x14ac:dyDescent="0.25">
      <c r="B35" s="67"/>
      <c r="C35" s="68" t="s">
        <v>54</v>
      </c>
      <c r="D35" s="42">
        <v>0</v>
      </c>
      <c r="E35" s="42">
        <v>650000</v>
      </c>
      <c r="F35" s="42">
        <v>1040000</v>
      </c>
      <c r="G35" s="132">
        <v>0</v>
      </c>
      <c r="H35" s="132">
        <v>0</v>
      </c>
      <c r="I35" s="44"/>
      <c r="J35" s="42">
        <f t="shared" si="6"/>
        <v>1690000</v>
      </c>
    </row>
    <row r="36" spans="2:11" x14ac:dyDescent="0.25">
      <c r="B36" s="67"/>
      <c r="C36" s="68" t="s">
        <v>49</v>
      </c>
      <c r="D36" s="42">
        <v>0</v>
      </c>
      <c r="E36" s="42">
        <v>495000</v>
      </c>
      <c r="F36" s="132">
        <v>0</v>
      </c>
      <c r="G36" s="132">
        <v>0</v>
      </c>
      <c r="H36" s="132">
        <v>0</v>
      </c>
      <c r="I36" s="44"/>
      <c r="J36" s="42">
        <f t="shared" si="6"/>
        <v>495000</v>
      </c>
    </row>
    <row r="37" spans="2:11" x14ac:dyDescent="0.25">
      <c r="B37" s="67"/>
      <c r="C37" s="68" t="s">
        <v>50</v>
      </c>
      <c r="D37" s="42">
        <v>0</v>
      </c>
      <c r="E37" s="42">
        <v>1848000</v>
      </c>
      <c r="F37" s="132">
        <v>0</v>
      </c>
      <c r="G37" s="132">
        <v>0</v>
      </c>
      <c r="H37" s="132">
        <v>0</v>
      </c>
      <c r="I37" s="44"/>
      <c r="J37" s="42">
        <f t="shared" si="6"/>
        <v>1848000</v>
      </c>
    </row>
    <row r="38" spans="2:11" x14ac:dyDescent="0.25">
      <c r="B38" s="67"/>
      <c r="C38" s="68" t="s">
        <v>51</v>
      </c>
      <c r="D38" s="42">
        <v>0</v>
      </c>
      <c r="E38" s="42">
        <v>528000</v>
      </c>
      <c r="F38" s="132">
        <v>0</v>
      </c>
      <c r="G38" s="132">
        <v>0</v>
      </c>
      <c r="H38" s="132">
        <v>0</v>
      </c>
      <c r="I38" s="44"/>
      <c r="J38" s="42">
        <f t="shared" si="6"/>
        <v>528000</v>
      </c>
    </row>
    <row r="39" spans="2:11" x14ac:dyDescent="0.25">
      <c r="B39" s="67"/>
      <c r="C39" s="68" t="s">
        <v>42</v>
      </c>
      <c r="D39" s="42">
        <v>430650</v>
      </c>
      <c r="E39" s="42">
        <v>2153250</v>
      </c>
      <c r="F39" s="42">
        <v>1722600</v>
      </c>
      <c r="G39" s="132">
        <v>0</v>
      </c>
      <c r="H39" s="132">
        <v>0</v>
      </c>
      <c r="I39" s="44"/>
      <c r="J39" s="42">
        <f t="shared" si="6"/>
        <v>4306500</v>
      </c>
    </row>
    <row r="40" spans="2:11" x14ac:dyDescent="0.25">
      <c r="B40" s="67"/>
      <c r="C40" s="68" t="s">
        <v>47</v>
      </c>
      <c r="D40" s="42">
        <v>0</v>
      </c>
      <c r="E40" s="42">
        <v>474000</v>
      </c>
      <c r="F40" s="42">
        <v>185000</v>
      </c>
      <c r="G40" s="132">
        <v>0</v>
      </c>
      <c r="H40" s="132">
        <v>0</v>
      </c>
      <c r="I40" s="44"/>
      <c r="J40" s="42">
        <f t="shared" si="6"/>
        <v>659000</v>
      </c>
    </row>
    <row r="41" spans="2:11" x14ac:dyDescent="0.25">
      <c r="B41" s="67"/>
      <c r="C41" s="68" t="s">
        <v>43</v>
      </c>
      <c r="D41" s="42">
        <v>100000</v>
      </c>
      <c r="E41" s="42">
        <v>500000</v>
      </c>
      <c r="F41" s="42">
        <v>400000</v>
      </c>
      <c r="G41" s="132">
        <v>0</v>
      </c>
      <c r="H41" s="132">
        <v>0</v>
      </c>
      <c r="I41" s="50">
        <v>375000</v>
      </c>
      <c r="J41" s="42">
        <f t="shared" si="6"/>
        <v>1000000</v>
      </c>
    </row>
    <row r="42" spans="2:11" x14ac:dyDescent="0.25">
      <c r="B42" s="67"/>
      <c r="C42" s="41" t="s">
        <v>69</v>
      </c>
      <c r="D42" s="42">
        <v>0</v>
      </c>
      <c r="E42" s="42">
        <v>355500</v>
      </c>
      <c r="F42" s="42">
        <v>355500</v>
      </c>
      <c r="G42" s="132">
        <v>0</v>
      </c>
      <c r="H42" s="132">
        <v>0</v>
      </c>
      <c r="I42" s="50">
        <v>781250</v>
      </c>
      <c r="J42" s="42">
        <f t="shared" si="6"/>
        <v>711000</v>
      </c>
    </row>
    <row r="43" spans="2:11" x14ac:dyDescent="0.25">
      <c r="B43" s="67"/>
      <c r="C43" s="41" t="s">
        <v>67</v>
      </c>
      <c r="D43" s="42">
        <v>717750</v>
      </c>
      <c r="E43" s="42">
        <v>3588750</v>
      </c>
      <c r="F43" s="42">
        <v>2871000</v>
      </c>
      <c r="G43" s="132">
        <v>0</v>
      </c>
      <c r="H43" s="132">
        <v>0</v>
      </c>
      <c r="I43" s="50">
        <v>2083335</v>
      </c>
      <c r="J43" s="42">
        <f t="shared" si="6"/>
        <v>7177500</v>
      </c>
    </row>
    <row r="44" spans="2:11" x14ac:dyDescent="0.25">
      <c r="B44" s="69"/>
      <c r="C44" s="45" t="s">
        <v>18</v>
      </c>
      <c r="D44" s="47">
        <f>SUM(D31:D43)</f>
        <v>5142200</v>
      </c>
      <c r="E44" s="47">
        <f>SUM(E31:E43)</f>
        <v>26386900</v>
      </c>
      <c r="F44" s="47">
        <f>SUM(F31:F43)</f>
        <v>25823900</v>
      </c>
      <c r="G44" s="47">
        <f>SUM(G31:G43)</f>
        <v>0</v>
      </c>
      <c r="H44" s="47">
        <f>SUM(H31:H43)</f>
        <v>0</v>
      </c>
      <c r="I44" s="44"/>
      <c r="J44" s="47">
        <f t="shared" si="5"/>
        <v>57353000</v>
      </c>
    </row>
    <row r="45" spans="2:11" x14ac:dyDescent="0.25">
      <c r="B45" s="69"/>
      <c r="C45" s="45" t="s">
        <v>19</v>
      </c>
      <c r="D45" s="47">
        <f>SUM(D44,D27,D24,D21,D18,D15,D12)</f>
        <v>5155617</v>
      </c>
      <c r="E45" s="47">
        <f>SUM(E44,E27,E24,E21,E18,E15,E12)</f>
        <v>26400705</v>
      </c>
      <c r="F45" s="47">
        <f>SUM(F44,F27,F24,F21,F18,F15,F12)</f>
        <v>25835438</v>
      </c>
      <c r="G45" s="47">
        <f>SUM(G44,G27,G24,G21,G18,G15,G12)</f>
        <v>10027</v>
      </c>
      <c r="H45" s="47">
        <f>SUM(H44,H27,H24,H21,H18,H15,H12)</f>
        <v>8864</v>
      </c>
      <c r="I45" s="44"/>
      <c r="J45" s="47">
        <f t="shared" si="5"/>
        <v>57410651</v>
      </c>
      <c r="K45" s="19"/>
    </row>
    <row r="46" spans="2:11" x14ac:dyDescent="0.25">
      <c r="B46" s="54"/>
      <c r="C46" s="44"/>
      <c r="D46" s="44"/>
      <c r="E46" s="44"/>
      <c r="F46" s="44"/>
      <c r="G46" s="44"/>
      <c r="H46" s="44"/>
      <c r="I46" s="44"/>
      <c r="J46" s="44" t="s">
        <v>20</v>
      </c>
    </row>
    <row r="47" spans="2:11" x14ac:dyDescent="0.25">
      <c r="B47" s="117" t="s">
        <v>40</v>
      </c>
      <c r="C47" s="70" t="s">
        <v>40</v>
      </c>
      <c r="D47" s="66"/>
      <c r="E47" s="66"/>
      <c r="F47" s="66"/>
      <c r="G47" s="66"/>
      <c r="H47" s="66"/>
      <c r="I47" s="44"/>
      <c r="J47" s="66" t="s">
        <v>20</v>
      </c>
    </row>
    <row r="48" spans="2:11" ht="30" x14ac:dyDescent="0.25">
      <c r="B48" s="67"/>
      <c r="C48" s="128" t="s">
        <v>128</v>
      </c>
      <c r="D48" s="42">
        <f>ROUND(D12*0.385,0)</f>
        <v>3403</v>
      </c>
      <c r="E48" s="42">
        <f t="shared" ref="E48:H48" si="7">ROUND(E12*0.385,0)</f>
        <v>3504</v>
      </c>
      <c r="F48" s="42">
        <f t="shared" si="7"/>
        <v>2911</v>
      </c>
      <c r="G48" s="42">
        <f t="shared" si="7"/>
        <v>2515</v>
      </c>
      <c r="H48" s="42">
        <f t="shared" si="7"/>
        <v>2210</v>
      </c>
      <c r="I48" s="44"/>
      <c r="J48" s="42">
        <f>SUM(D48:H48)</f>
        <v>14543</v>
      </c>
    </row>
    <row r="49" spans="2:10" x14ac:dyDescent="0.25">
      <c r="B49" s="69"/>
      <c r="C49" s="45" t="s">
        <v>21</v>
      </c>
      <c r="D49" s="47">
        <f>SUM(D48:D48)</f>
        <v>3403</v>
      </c>
      <c r="E49" s="47">
        <f>SUM(E48:E48)</f>
        <v>3504</v>
      </c>
      <c r="F49" s="47">
        <f>SUM(F48:F48)</f>
        <v>2911</v>
      </c>
      <c r="G49" s="47">
        <f>SUM(G48:G48)</f>
        <v>2515</v>
      </c>
      <c r="H49" s="47">
        <f>SUM(H48:H48)</f>
        <v>2210</v>
      </c>
      <c r="I49" s="44"/>
      <c r="J49" s="47">
        <f t="shared" ref="J49" si="8">SUM(D49:H49)</f>
        <v>14543</v>
      </c>
    </row>
    <row r="50" spans="2:10" x14ac:dyDescent="0.25">
      <c r="B50" s="54"/>
      <c r="C50" s="44"/>
      <c r="D50" s="44"/>
      <c r="E50" s="44"/>
      <c r="F50" s="44"/>
      <c r="G50" s="44"/>
      <c r="H50" s="44"/>
      <c r="I50" s="44"/>
      <c r="J50" s="44" t="s">
        <v>20</v>
      </c>
    </row>
    <row r="51" spans="2:10" s="1" customFormat="1" ht="30" x14ac:dyDescent="0.25">
      <c r="B51" s="51" t="s">
        <v>22</v>
      </c>
      <c r="C51" s="51"/>
      <c r="D51" s="52">
        <f t="shared" ref="D51:J51" si="9">SUM(D49,D45)</f>
        <v>5159020</v>
      </c>
      <c r="E51" s="52">
        <f t="shared" si="9"/>
        <v>26404209</v>
      </c>
      <c r="F51" s="52">
        <f t="shared" si="9"/>
        <v>25838349</v>
      </c>
      <c r="G51" s="52">
        <f t="shared" si="9"/>
        <v>12542</v>
      </c>
      <c r="H51" s="52">
        <f t="shared" si="9"/>
        <v>11074</v>
      </c>
      <c r="I51" s="44">
        <f t="shared" si="9"/>
        <v>0</v>
      </c>
      <c r="J51" s="52">
        <f t="shared" si="9"/>
        <v>57425194</v>
      </c>
    </row>
    <row r="52" spans="2:10" x14ac:dyDescent="0.25">
      <c r="B52" s="6"/>
    </row>
    <row r="53" spans="2:10" x14ac:dyDescent="0.25">
      <c r="B53" s="6"/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</sheetData>
  <pageMargins left="0.7" right="0.7" top="0.75" bottom="0.75" header="0.3" footer="0.3"/>
  <pageSetup orientation="portrait"/>
  <ignoredErrors>
    <ignoredError sqref="J41:J43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1E2A8-C5D8-4CA2-AD51-7445175B876E}">
  <sheetPr>
    <tabColor theme="7" tint="0.59999389629810485"/>
  </sheetPr>
  <dimension ref="A1:U55"/>
  <sheetViews>
    <sheetView workbookViewId="0">
      <selection activeCell="O51" sqref="O51:R52"/>
    </sheetView>
  </sheetViews>
  <sheetFormatPr defaultRowHeight="15" x14ac:dyDescent="0.25"/>
  <cols>
    <col min="1" max="1" width="35.140625" bestFit="1" customWidth="1"/>
    <col min="2" max="2" width="10.140625" customWidth="1"/>
    <col min="3" max="3" width="12.28515625" customWidth="1"/>
    <col min="4" max="4" width="13.140625" bestFit="1" customWidth="1"/>
    <col min="5" max="6" width="4.42578125" customWidth="1"/>
    <col min="7" max="7" width="16.42578125" customWidth="1"/>
    <col min="8" max="8" width="20.85546875" customWidth="1"/>
    <col min="9" max="9" width="12" customWidth="1"/>
    <col min="10" max="10" width="12.5703125" customWidth="1"/>
    <col min="11" max="11" width="15.28515625" customWidth="1"/>
    <col min="12" max="12" width="11.85546875" bestFit="1" customWidth="1"/>
    <col min="13" max="13" width="10.5703125" customWidth="1"/>
    <col min="14" max="14" width="10.85546875" customWidth="1"/>
    <col min="15" max="15" width="11.7109375" customWidth="1"/>
    <col min="16" max="16" width="14.5703125" customWidth="1"/>
    <col min="17" max="17" width="11.5703125" customWidth="1"/>
    <col min="18" max="18" width="10" customWidth="1"/>
    <col min="21" max="21" width="0" hidden="1" customWidth="1"/>
  </cols>
  <sheetData>
    <row r="1" spans="1:21" ht="30" x14ac:dyDescent="0.25">
      <c r="A1" s="208" t="s">
        <v>74</v>
      </c>
      <c r="B1" s="208"/>
      <c r="C1" s="208"/>
      <c r="D1" s="209"/>
      <c r="E1" s="76"/>
      <c r="G1" s="210" t="s">
        <v>75</v>
      </c>
      <c r="H1" s="210"/>
      <c r="I1" s="210"/>
      <c r="J1" s="210"/>
      <c r="K1" s="210"/>
      <c r="L1" s="210"/>
      <c r="N1" s="77" t="s">
        <v>76</v>
      </c>
      <c r="O1" s="78" t="s">
        <v>77</v>
      </c>
      <c r="P1" s="79" t="s">
        <v>78</v>
      </c>
    </row>
    <row r="2" spans="1:21" ht="45.75" thickBot="1" x14ac:dyDescent="0.3">
      <c r="A2" s="80" t="s">
        <v>79</v>
      </c>
      <c r="B2" s="81" t="s">
        <v>80</v>
      </c>
      <c r="C2" s="82" t="s">
        <v>81</v>
      </c>
      <c r="D2" s="82" t="s">
        <v>82</v>
      </c>
      <c r="E2" s="83"/>
      <c r="G2" s="84" t="s">
        <v>83</v>
      </c>
      <c r="H2" s="84" t="s">
        <v>84</v>
      </c>
      <c r="I2" s="84" t="s">
        <v>85</v>
      </c>
      <c r="J2" s="84" t="s">
        <v>76</v>
      </c>
      <c r="K2" s="84" t="s">
        <v>78</v>
      </c>
      <c r="L2" s="84" t="s">
        <v>28</v>
      </c>
      <c r="N2" s="85">
        <v>0.47</v>
      </c>
      <c r="O2" s="86">
        <v>7.6499999999999999E-2</v>
      </c>
      <c r="P2" s="87">
        <v>0.38500000000000001</v>
      </c>
    </row>
    <row r="3" spans="1:21" x14ac:dyDescent="0.25">
      <c r="A3" s="9"/>
      <c r="B3" s="9"/>
      <c r="C3" s="82"/>
      <c r="D3" s="82">
        <v>2080</v>
      </c>
      <c r="E3" s="83"/>
      <c r="G3" s="88">
        <v>0.03</v>
      </c>
      <c r="H3" s="89"/>
      <c r="I3" s="89"/>
      <c r="J3" s="90">
        <f>N2</f>
        <v>0.47</v>
      </c>
      <c r="K3" s="91">
        <f>P2</f>
        <v>0.38500000000000001</v>
      </c>
      <c r="L3" s="92"/>
    </row>
    <row r="4" spans="1:21" x14ac:dyDescent="0.25">
      <c r="A4" s="93" t="s">
        <v>86</v>
      </c>
      <c r="B4" s="94" t="s">
        <v>87</v>
      </c>
      <c r="C4" s="95">
        <v>55.58</v>
      </c>
      <c r="D4" s="96">
        <f>ROUND(C4*$D$3,0)</f>
        <v>115606</v>
      </c>
      <c r="E4" s="97"/>
      <c r="G4" s="98">
        <f>ROUND(D4*(1+$G$3),0)</f>
        <v>119074</v>
      </c>
      <c r="H4" s="99">
        <v>0.15</v>
      </c>
      <c r="I4" s="98">
        <f>ROUND(G4*H4,0)</f>
        <v>17861</v>
      </c>
      <c r="J4" s="100">
        <f>ROUND(I4*$J$3,0)</f>
        <v>8395</v>
      </c>
      <c r="K4" s="100">
        <f>ROUND(I4*$K$3,0)</f>
        <v>6876</v>
      </c>
      <c r="L4" s="101">
        <f>SUM(I4:K4)</f>
        <v>33132</v>
      </c>
      <c r="U4" s="181">
        <f>(H4+H14+H24+H34+H44)/5</f>
        <v>0.124</v>
      </c>
    </row>
    <row r="5" spans="1:21" x14ac:dyDescent="0.25">
      <c r="A5" s="93" t="s">
        <v>88</v>
      </c>
      <c r="B5" s="102" t="s">
        <v>89</v>
      </c>
      <c r="C5" s="95">
        <v>51.36</v>
      </c>
      <c r="D5" s="96">
        <f t="shared" ref="D5:D7" si="0">ROUND(C5*$D$3,0)</f>
        <v>106829</v>
      </c>
      <c r="E5" s="97"/>
      <c r="G5" s="98">
        <f t="shared" ref="G5:G7" si="1">ROUND(D5*(1+$G$3),0)</f>
        <v>110034</v>
      </c>
      <c r="H5" s="99">
        <v>0.15</v>
      </c>
      <c r="I5" s="98">
        <f t="shared" ref="I5:I6" si="2">ROUND(G5*H5,0)</f>
        <v>16505</v>
      </c>
      <c r="J5" s="100">
        <f t="shared" ref="J5:J7" si="3">ROUND(I5*$J$3,0)</f>
        <v>7757</v>
      </c>
      <c r="K5" s="100">
        <f t="shared" ref="K5:K6" si="4">ROUND(I5*$K$3,0)</f>
        <v>6354</v>
      </c>
      <c r="L5" s="101">
        <f t="shared" ref="L5:L7" si="5">SUM(I5:K5)</f>
        <v>30616</v>
      </c>
      <c r="U5" s="181">
        <f>(H5+H15+H25+H35+H45)/5</f>
        <v>0.124</v>
      </c>
    </row>
    <row r="6" spans="1:21" x14ac:dyDescent="0.25">
      <c r="A6" s="93" t="s">
        <v>90</v>
      </c>
      <c r="B6" s="102" t="s">
        <v>91</v>
      </c>
      <c r="C6" s="95">
        <v>32.86</v>
      </c>
      <c r="D6" s="96">
        <f t="shared" si="0"/>
        <v>68349</v>
      </c>
      <c r="E6" s="97"/>
      <c r="G6" s="98">
        <f t="shared" si="1"/>
        <v>70399</v>
      </c>
      <c r="H6" s="99">
        <v>0.15</v>
      </c>
      <c r="I6" s="98">
        <f t="shared" si="2"/>
        <v>10560</v>
      </c>
      <c r="J6" s="100">
        <f t="shared" si="3"/>
        <v>4963</v>
      </c>
      <c r="K6" s="100">
        <f t="shared" si="4"/>
        <v>4066</v>
      </c>
      <c r="L6" s="101">
        <f t="shared" si="5"/>
        <v>19589</v>
      </c>
      <c r="U6" s="181">
        <f>(H6+H16+H26+H36+H46)/5</f>
        <v>0.12012400000000001</v>
      </c>
    </row>
    <row r="7" spans="1:21" x14ac:dyDescent="0.25">
      <c r="A7" s="93" t="s">
        <v>92</v>
      </c>
      <c r="B7" s="102" t="s">
        <v>93</v>
      </c>
      <c r="C7" s="95">
        <v>75.59</v>
      </c>
      <c r="D7" s="96">
        <f t="shared" si="0"/>
        <v>157227</v>
      </c>
      <c r="E7" s="97"/>
      <c r="G7" s="98">
        <f t="shared" si="1"/>
        <v>161944</v>
      </c>
      <c r="H7" s="99">
        <v>0.05</v>
      </c>
      <c r="I7" s="98">
        <f>ROUND(G7*H7,0)</f>
        <v>8097</v>
      </c>
      <c r="J7" s="100">
        <f t="shared" si="3"/>
        <v>3806</v>
      </c>
      <c r="K7" s="100">
        <f>ROUND(I7*$K$3,0)</f>
        <v>3117</v>
      </c>
      <c r="L7" s="101">
        <f t="shared" si="5"/>
        <v>15020</v>
      </c>
      <c r="N7" s="140"/>
      <c r="U7" s="181">
        <f>(H7+H17+H27+H37+H47)/5</f>
        <v>4.5999999999999999E-2</v>
      </c>
    </row>
    <row r="8" spans="1:21" x14ac:dyDescent="0.25">
      <c r="D8" s="103"/>
      <c r="E8" s="103"/>
      <c r="G8" s="104" t="s">
        <v>28</v>
      </c>
      <c r="H8" s="105">
        <f>SUM(H4:H7)</f>
        <v>0.49999999999999994</v>
      </c>
      <c r="I8" s="106">
        <f>SUM(I4:I7)</f>
        <v>53023</v>
      </c>
      <c r="J8" s="106">
        <f>SUM(J4:J7)</f>
        <v>24921</v>
      </c>
      <c r="K8" s="106">
        <f>SUM(K4:K7)</f>
        <v>20413</v>
      </c>
      <c r="L8" s="106">
        <f>SUM(L4:L7)</f>
        <v>98357</v>
      </c>
      <c r="U8" s="180"/>
    </row>
    <row r="9" spans="1:21" x14ac:dyDescent="0.25">
      <c r="J9" s="114">
        <f>SUM(I8:J8)</f>
        <v>77944</v>
      </c>
    </row>
    <row r="11" spans="1:21" x14ac:dyDescent="0.25">
      <c r="G11" s="210" t="s">
        <v>94</v>
      </c>
      <c r="H11" s="210"/>
      <c r="I11" s="210"/>
      <c r="J11" s="210"/>
      <c r="K11" s="210"/>
      <c r="L11" s="210"/>
      <c r="M11" s="107"/>
    </row>
    <row r="12" spans="1:21" ht="45" x14ac:dyDescent="0.25">
      <c r="G12" s="84" t="s">
        <v>83</v>
      </c>
      <c r="H12" s="84" t="s">
        <v>84</v>
      </c>
      <c r="I12" s="84" t="s">
        <v>85</v>
      </c>
      <c r="J12" s="84" t="s">
        <v>76</v>
      </c>
      <c r="K12" s="84" t="s">
        <v>78</v>
      </c>
      <c r="L12" s="84" t="s">
        <v>28</v>
      </c>
      <c r="M12" s="108"/>
    </row>
    <row r="13" spans="1:21" x14ac:dyDescent="0.25">
      <c r="G13" s="88">
        <v>0.03</v>
      </c>
      <c r="H13" s="89"/>
      <c r="I13" s="89"/>
      <c r="J13" s="90">
        <f>N2</f>
        <v>0.47</v>
      </c>
      <c r="K13" s="91">
        <f>P2</f>
        <v>0.38500000000000001</v>
      </c>
      <c r="L13" s="92"/>
    </row>
    <row r="14" spans="1:21" x14ac:dyDescent="0.25">
      <c r="G14" s="98">
        <f>ROUND(G4*(1+$G$3),0)</f>
        <v>122646</v>
      </c>
      <c r="H14" s="99">
        <v>0.15</v>
      </c>
      <c r="I14" s="98">
        <f>ROUND(G14*H14,0)</f>
        <v>18397</v>
      </c>
      <c r="J14" s="100">
        <f>ROUND(I14*$J$3,0)</f>
        <v>8647</v>
      </c>
      <c r="K14" s="100">
        <f>ROUND(I14*$K$3,0)</f>
        <v>7083</v>
      </c>
      <c r="L14" s="101">
        <f>SUM(I14:K14)</f>
        <v>34127</v>
      </c>
    </row>
    <row r="15" spans="1:21" x14ac:dyDescent="0.25">
      <c r="G15" s="98">
        <f>ROUND(G5*(1+$G$3),0)</f>
        <v>113335</v>
      </c>
      <c r="H15" s="99">
        <v>0.15</v>
      </c>
      <c r="I15" s="98">
        <f t="shared" ref="I15:I17" si="6">ROUND(G15*H15,0)</f>
        <v>17000</v>
      </c>
      <c r="J15" s="100">
        <f t="shared" ref="J15:J17" si="7">ROUND(I15*$J$3,0)</f>
        <v>7990</v>
      </c>
      <c r="K15" s="100">
        <f t="shared" ref="K15:K17" si="8">ROUND(I15*$K$3,0)</f>
        <v>6545</v>
      </c>
      <c r="L15" s="101">
        <f t="shared" ref="L15:L17" si="9">SUM(I15:K15)</f>
        <v>31535</v>
      </c>
    </row>
    <row r="16" spans="1:21" x14ac:dyDescent="0.25">
      <c r="G16" s="98">
        <f>ROUND(G6*(1+$G$3),0)</f>
        <v>72511</v>
      </c>
      <c r="H16" s="99">
        <v>0.15</v>
      </c>
      <c r="I16" s="98">
        <f t="shared" si="6"/>
        <v>10877</v>
      </c>
      <c r="J16" s="100">
        <f t="shared" si="7"/>
        <v>5112</v>
      </c>
      <c r="K16" s="100">
        <f t="shared" si="8"/>
        <v>4188</v>
      </c>
      <c r="L16" s="101">
        <f t="shared" si="9"/>
        <v>20177</v>
      </c>
    </row>
    <row r="17" spans="7:13" x14ac:dyDescent="0.25">
      <c r="G17" s="98">
        <f>ROUND(G7*(1+$G$3),0)</f>
        <v>166802</v>
      </c>
      <c r="H17" s="99">
        <v>0.05</v>
      </c>
      <c r="I17" s="98">
        <f t="shared" si="6"/>
        <v>8340</v>
      </c>
      <c r="J17" s="100">
        <f t="shared" si="7"/>
        <v>3920</v>
      </c>
      <c r="K17" s="100">
        <f t="shared" si="8"/>
        <v>3211</v>
      </c>
      <c r="L17" s="101">
        <f t="shared" si="9"/>
        <v>15471</v>
      </c>
    </row>
    <row r="18" spans="7:13" x14ac:dyDescent="0.25">
      <c r="G18" s="104" t="s">
        <v>28</v>
      </c>
      <c r="H18" s="105">
        <f>SUM(H14:H17)</f>
        <v>0.49999999999999994</v>
      </c>
      <c r="I18" s="106">
        <f>SUM(I14:I17)</f>
        <v>54614</v>
      </c>
      <c r="J18" s="106">
        <f>SUM(J14:J17)</f>
        <v>25669</v>
      </c>
      <c r="K18" s="106">
        <f>SUM(K14:K17)</f>
        <v>21027</v>
      </c>
      <c r="L18" s="106">
        <f>SUM(L14:L17)</f>
        <v>101310</v>
      </c>
    </row>
    <row r="19" spans="7:13" x14ac:dyDescent="0.25">
      <c r="J19" s="114">
        <f>SUM(I18:J18)</f>
        <v>80283</v>
      </c>
    </row>
    <row r="21" spans="7:13" x14ac:dyDescent="0.25">
      <c r="G21" s="210" t="s">
        <v>95</v>
      </c>
      <c r="H21" s="210"/>
      <c r="I21" s="210"/>
      <c r="J21" s="210"/>
      <c r="K21" s="210"/>
      <c r="L21" s="210"/>
      <c r="M21" s="107"/>
    </row>
    <row r="22" spans="7:13" ht="45" x14ac:dyDescent="0.25">
      <c r="G22" s="84" t="s">
        <v>96</v>
      </c>
      <c r="H22" s="84" t="s">
        <v>84</v>
      </c>
      <c r="I22" s="84" t="s">
        <v>85</v>
      </c>
      <c r="J22" s="84" t="s">
        <v>76</v>
      </c>
      <c r="K22" s="84" t="s">
        <v>78</v>
      </c>
      <c r="L22" s="84" t="s">
        <v>28</v>
      </c>
      <c r="M22" s="108"/>
    </row>
    <row r="23" spans="7:13" x14ac:dyDescent="0.25">
      <c r="G23" s="88">
        <v>0</v>
      </c>
      <c r="H23" s="89"/>
      <c r="I23" s="89"/>
      <c r="J23" s="90">
        <f>N2</f>
        <v>0.47</v>
      </c>
      <c r="K23" s="91">
        <f>P2</f>
        <v>0.38500000000000001</v>
      </c>
      <c r="L23" s="92"/>
    </row>
    <row r="24" spans="7:13" x14ac:dyDescent="0.25">
      <c r="G24" s="98">
        <f>ROUND(G14*(1+$G$23),0)</f>
        <v>122646</v>
      </c>
      <c r="H24" s="99">
        <v>0.12</v>
      </c>
      <c r="I24" s="98">
        <f>ROUND(G24*H24,0)</f>
        <v>14718</v>
      </c>
      <c r="J24" s="100">
        <f>ROUND(I24*$J$3,0)</f>
        <v>6917</v>
      </c>
      <c r="K24" s="100">
        <f>ROUND(I24*$K$3,0)</f>
        <v>5666</v>
      </c>
      <c r="L24" s="101">
        <f>SUM(I24:K24)</f>
        <v>27301</v>
      </c>
    </row>
    <row r="25" spans="7:13" x14ac:dyDescent="0.25">
      <c r="G25" s="98">
        <f t="shared" ref="G25:G27" si="10">ROUND(G15*(1+$G$23),0)</f>
        <v>113335</v>
      </c>
      <c r="H25" s="99">
        <v>0.12</v>
      </c>
      <c r="I25" s="98">
        <f t="shared" ref="I25:I27" si="11">ROUND(G25*H25,0)</f>
        <v>13600</v>
      </c>
      <c r="J25" s="100">
        <f t="shared" ref="J25:J27" si="12">ROUND(I25*$J$3,0)</f>
        <v>6392</v>
      </c>
      <c r="K25" s="100">
        <f t="shared" ref="K25:K27" si="13">ROUND(I25*$K$3,0)</f>
        <v>5236</v>
      </c>
      <c r="L25" s="101">
        <f t="shared" ref="L25:L27" si="14">SUM(I25:K25)</f>
        <v>25228</v>
      </c>
    </row>
    <row r="26" spans="7:13" x14ac:dyDescent="0.25">
      <c r="G26" s="98">
        <f t="shared" si="10"/>
        <v>72511</v>
      </c>
      <c r="H26" s="99">
        <v>0.12</v>
      </c>
      <c r="I26" s="98">
        <f t="shared" si="11"/>
        <v>8701</v>
      </c>
      <c r="J26" s="100">
        <f t="shared" si="12"/>
        <v>4089</v>
      </c>
      <c r="K26" s="100">
        <f t="shared" si="13"/>
        <v>3350</v>
      </c>
      <c r="L26" s="101">
        <f t="shared" si="14"/>
        <v>16140</v>
      </c>
    </row>
    <row r="27" spans="7:13" x14ac:dyDescent="0.25">
      <c r="G27" s="98">
        <f t="shared" si="10"/>
        <v>166802</v>
      </c>
      <c r="H27" s="99">
        <v>0.05</v>
      </c>
      <c r="I27" s="98">
        <f t="shared" si="11"/>
        <v>8340</v>
      </c>
      <c r="J27" s="100">
        <f t="shared" si="12"/>
        <v>3920</v>
      </c>
      <c r="K27" s="100">
        <f t="shared" si="13"/>
        <v>3211</v>
      </c>
      <c r="L27" s="101">
        <f t="shared" si="14"/>
        <v>15471</v>
      </c>
    </row>
    <row r="28" spans="7:13" x14ac:dyDescent="0.25">
      <c r="G28" s="104" t="s">
        <v>28</v>
      </c>
      <c r="H28" s="105">
        <f>SUM(H24:H27)</f>
        <v>0.41</v>
      </c>
      <c r="I28" s="106">
        <f>SUM(I24:I27)</f>
        <v>45359</v>
      </c>
      <c r="J28" s="106">
        <f>SUM(J24:J27)</f>
        <v>21318</v>
      </c>
      <c r="K28" s="106">
        <f>SUM(K24:K27)</f>
        <v>17463</v>
      </c>
      <c r="L28" s="106">
        <f>SUM(L24:L27)</f>
        <v>84140</v>
      </c>
    </row>
    <row r="29" spans="7:13" x14ac:dyDescent="0.25">
      <c r="J29" s="114">
        <f>SUM(I28:J28)</f>
        <v>66677</v>
      </c>
    </row>
    <row r="31" spans="7:13" x14ac:dyDescent="0.25">
      <c r="G31" s="210" t="s">
        <v>97</v>
      </c>
      <c r="H31" s="210"/>
      <c r="I31" s="210"/>
      <c r="J31" s="210"/>
      <c r="K31" s="210"/>
      <c r="L31" s="210"/>
      <c r="M31" s="107"/>
    </row>
    <row r="32" spans="7:13" ht="45" x14ac:dyDescent="0.25">
      <c r="G32" s="84" t="s">
        <v>96</v>
      </c>
      <c r="H32" s="84" t="s">
        <v>84</v>
      </c>
      <c r="I32" s="84" t="s">
        <v>85</v>
      </c>
      <c r="J32" s="84" t="s">
        <v>76</v>
      </c>
      <c r="K32" s="84" t="s">
        <v>78</v>
      </c>
      <c r="L32" s="84" t="s">
        <v>28</v>
      </c>
      <c r="M32" s="108"/>
    </row>
    <row r="33" spans="7:14" x14ac:dyDescent="0.25">
      <c r="G33" s="88">
        <v>0</v>
      </c>
      <c r="H33" s="89"/>
      <c r="I33" s="89"/>
      <c r="J33" s="90">
        <f>N2</f>
        <v>0.47</v>
      </c>
      <c r="K33" s="91">
        <f>P2</f>
        <v>0.38500000000000001</v>
      </c>
      <c r="L33" s="92"/>
    </row>
    <row r="34" spans="7:14" x14ac:dyDescent="0.25">
      <c r="G34" s="98">
        <f>ROUND(G24*(1+$G$33),0)</f>
        <v>122646</v>
      </c>
      <c r="H34" s="99">
        <v>0.1</v>
      </c>
      <c r="I34" s="98">
        <f>ROUND(G34*H34,0)</f>
        <v>12265</v>
      </c>
      <c r="J34" s="100">
        <f>ROUND(I34*$J$3,0)</f>
        <v>5765</v>
      </c>
      <c r="K34" s="100">
        <f>ROUND(I34*$K$3,0)</f>
        <v>4722</v>
      </c>
      <c r="L34" s="101">
        <f>SUM(I34:K34)</f>
        <v>22752</v>
      </c>
    </row>
    <row r="35" spans="7:14" x14ac:dyDescent="0.25">
      <c r="G35" s="98">
        <f t="shared" ref="G35:G37" si="15">ROUND(G25*(1+$G$33),0)</f>
        <v>113335</v>
      </c>
      <c r="H35" s="99">
        <v>0.1</v>
      </c>
      <c r="I35" s="98">
        <f t="shared" ref="I35:I37" si="16">ROUND(G35*H35,0)</f>
        <v>11334</v>
      </c>
      <c r="J35" s="100">
        <f t="shared" ref="J35:J37" si="17">ROUND(I35*$J$3,0)</f>
        <v>5327</v>
      </c>
      <c r="K35" s="100">
        <f t="shared" ref="K35:K37" si="18">ROUND(I35*$K$3,0)</f>
        <v>4364</v>
      </c>
      <c r="L35" s="101">
        <f t="shared" ref="L35:L37" si="19">SUM(I35:K35)</f>
        <v>21025</v>
      </c>
    </row>
    <row r="36" spans="7:14" x14ac:dyDescent="0.25">
      <c r="G36" s="98">
        <f t="shared" si="15"/>
        <v>72511</v>
      </c>
      <c r="H36" s="99">
        <v>0.1</v>
      </c>
      <c r="I36" s="98">
        <f t="shared" si="16"/>
        <v>7251</v>
      </c>
      <c r="J36" s="100">
        <f t="shared" si="17"/>
        <v>3408</v>
      </c>
      <c r="K36" s="100">
        <f t="shared" si="18"/>
        <v>2792</v>
      </c>
      <c r="L36" s="101">
        <f t="shared" si="19"/>
        <v>13451</v>
      </c>
    </row>
    <row r="37" spans="7:14" x14ac:dyDescent="0.25">
      <c r="G37" s="98">
        <f t="shared" si="15"/>
        <v>166802</v>
      </c>
      <c r="H37" s="99">
        <v>0.05</v>
      </c>
      <c r="I37" s="98">
        <f t="shared" si="16"/>
        <v>8340</v>
      </c>
      <c r="J37" s="100">
        <f t="shared" si="17"/>
        <v>3920</v>
      </c>
      <c r="K37" s="100">
        <f t="shared" si="18"/>
        <v>3211</v>
      </c>
      <c r="L37" s="101">
        <f t="shared" si="19"/>
        <v>15471</v>
      </c>
      <c r="M37" s="140"/>
      <c r="N37" s="140"/>
    </row>
    <row r="38" spans="7:14" x14ac:dyDescent="0.25">
      <c r="G38" s="104" t="s">
        <v>28</v>
      </c>
      <c r="H38" s="105">
        <f>SUM(H34:H37)</f>
        <v>0.35000000000000003</v>
      </c>
      <c r="I38" s="106">
        <f>SUM(I34:I37)</f>
        <v>39190</v>
      </c>
      <c r="J38" s="106">
        <f>SUM(J34:J37)</f>
        <v>18420</v>
      </c>
      <c r="K38" s="106">
        <f>SUM(K34:K37)</f>
        <v>15089</v>
      </c>
      <c r="L38" s="106">
        <f>SUM(L34:L37)</f>
        <v>72699</v>
      </c>
    </row>
    <row r="39" spans="7:14" x14ac:dyDescent="0.25">
      <c r="J39" s="114">
        <f>SUM(I38:J38)</f>
        <v>57610</v>
      </c>
    </row>
    <row r="41" spans="7:14" x14ac:dyDescent="0.25">
      <c r="G41" s="207" t="s">
        <v>98</v>
      </c>
      <c r="H41" s="208"/>
      <c r="I41" s="208"/>
      <c r="J41" s="208"/>
      <c r="K41" s="208"/>
      <c r="L41" s="209"/>
      <c r="M41" s="107"/>
    </row>
    <row r="42" spans="7:14" ht="45" x14ac:dyDescent="0.25">
      <c r="G42" s="84" t="s">
        <v>96</v>
      </c>
      <c r="H42" s="84" t="s">
        <v>84</v>
      </c>
      <c r="I42" s="84" t="s">
        <v>85</v>
      </c>
      <c r="J42" s="84" t="s">
        <v>76</v>
      </c>
      <c r="K42" s="84" t="s">
        <v>78</v>
      </c>
      <c r="L42" s="84" t="s">
        <v>28</v>
      </c>
      <c r="M42" s="108"/>
    </row>
    <row r="43" spans="7:14" x14ac:dyDescent="0.25">
      <c r="G43" s="88">
        <v>0</v>
      </c>
      <c r="H43" s="89"/>
      <c r="I43" s="89"/>
      <c r="J43" s="90">
        <f>N2</f>
        <v>0.47</v>
      </c>
      <c r="K43" s="91">
        <f>P2</f>
        <v>0.38500000000000001</v>
      </c>
      <c r="L43" s="92"/>
    </row>
    <row r="44" spans="7:14" x14ac:dyDescent="0.25">
      <c r="G44" s="98">
        <f>ROUND(G34*(1+$G$43),0)</f>
        <v>122646</v>
      </c>
      <c r="H44" s="99">
        <v>0.1</v>
      </c>
      <c r="I44" s="98">
        <f>ROUND(G44*H44,0)</f>
        <v>12265</v>
      </c>
      <c r="J44" s="100">
        <f>ROUND(I44*$J$3,0)</f>
        <v>5765</v>
      </c>
      <c r="K44" s="100">
        <f>ROUND(I44*$K$3,0)</f>
        <v>4722</v>
      </c>
      <c r="L44" s="101">
        <f>SUM(I44:K44)</f>
        <v>22752</v>
      </c>
    </row>
    <row r="45" spans="7:14" x14ac:dyDescent="0.25">
      <c r="G45" s="98">
        <f t="shared" ref="G45:G47" si="20">ROUND(G35*(1+$G$43),0)</f>
        <v>113335</v>
      </c>
      <c r="H45" s="99">
        <v>0.1</v>
      </c>
      <c r="I45" s="98">
        <f t="shared" ref="I45:I47" si="21">ROUND(G45*H45,0)</f>
        <v>11334</v>
      </c>
      <c r="J45" s="100">
        <f t="shared" ref="J45:J47" si="22">ROUND(I45*$J$3,0)</f>
        <v>5327</v>
      </c>
      <c r="K45" s="100">
        <f t="shared" ref="K45:K46" si="23">ROUND(I45*$K$3,0)</f>
        <v>4364</v>
      </c>
      <c r="L45" s="101">
        <f t="shared" ref="L45:L47" si="24">SUM(I45:K45)</f>
        <v>21025</v>
      </c>
    </row>
    <row r="46" spans="7:14" x14ac:dyDescent="0.25">
      <c r="G46" s="98">
        <f t="shared" si="20"/>
        <v>72511</v>
      </c>
      <c r="H46" s="99">
        <v>8.0619999999999997E-2</v>
      </c>
      <c r="I46" s="98">
        <f t="shared" si="21"/>
        <v>5846</v>
      </c>
      <c r="J46" s="100">
        <f t="shared" si="22"/>
        <v>2748</v>
      </c>
      <c r="K46" s="100">
        <f t="shared" si="23"/>
        <v>2251</v>
      </c>
      <c r="L46" s="101">
        <f t="shared" si="24"/>
        <v>10845</v>
      </c>
      <c r="M46" s="140"/>
    </row>
    <row r="47" spans="7:14" x14ac:dyDescent="0.25">
      <c r="G47" s="98">
        <f t="shared" si="20"/>
        <v>166802</v>
      </c>
      <c r="H47" s="99">
        <v>0.03</v>
      </c>
      <c r="I47" s="98">
        <f t="shared" si="21"/>
        <v>5004</v>
      </c>
      <c r="J47" s="100">
        <f t="shared" si="22"/>
        <v>2352</v>
      </c>
      <c r="K47" s="100">
        <f>ROUNDDOWN(I47*$K$3,0)</f>
        <v>1926</v>
      </c>
      <c r="L47" s="101">
        <f t="shared" si="24"/>
        <v>9282</v>
      </c>
      <c r="M47" s="140"/>
    </row>
    <row r="48" spans="7:14" x14ac:dyDescent="0.25">
      <c r="G48" s="104" t="s">
        <v>28</v>
      </c>
      <c r="H48" s="105">
        <f>SUM(H44:H47)</f>
        <v>0.31062000000000001</v>
      </c>
      <c r="I48" s="141">
        <f>SUM(I44:I47)</f>
        <v>34449</v>
      </c>
      <c r="J48" s="141">
        <f>SUM(J44:J47)</f>
        <v>16192</v>
      </c>
      <c r="K48" s="141">
        <f>SUM(K44:K47)</f>
        <v>13263</v>
      </c>
      <c r="L48" s="141">
        <f>SUM(L44:L47)</f>
        <v>63904</v>
      </c>
    </row>
    <row r="49" spans="7:18" x14ac:dyDescent="0.25">
      <c r="J49" s="142">
        <f>SUM(I48:J48)</f>
        <v>50641</v>
      </c>
    </row>
    <row r="51" spans="7:18" x14ac:dyDescent="0.25">
      <c r="G51" s="8" t="s">
        <v>99</v>
      </c>
      <c r="H51" s="109">
        <f>H8+H18+H28+H38+H48</f>
        <v>2.0706199999999999</v>
      </c>
      <c r="I51" s="110">
        <f>I8+I18+I28+I38+I48</f>
        <v>226635</v>
      </c>
      <c r="J51" s="110">
        <f>J8+J18+J28+J38+J48</f>
        <v>106520</v>
      </c>
      <c r="K51" s="110">
        <f>K8+K18+K28+K38+K48</f>
        <v>87255</v>
      </c>
      <c r="L51" s="110">
        <f>L8+L18+L28+L38+L48</f>
        <v>420410</v>
      </c>
      <c r="N51" s="137"/>
      <c r="O51" s="137" t="s">
        <v>136</v>
      </c>
      <c r="P51" s="137" t="s">
        <v>137</v>
      </c>
      <c r="Q51" s="137" t="s">
        <v>138</v>
      </c>
      <c r="R51" s="137" t="s">
        <v>28</v>
      </c>
    </row>
    <row r="52" spans="7:18" x14ac:dyDescent="0.25">
      <c r="J52" s="114">
        <f>SUM(I51:J51)</f>
        <v>333155</v>
      </c>
      <c r="K52" s="111" t="s">
        <v>100</v>
      </c>
      <c r="L52" s="112">
        <f>SUM(I51:K51)</f>
        <v>420410</v>
      </c>
      <c r="M52" s="113">
        <f>M54-20000</f>
        <v>420410</v>
      </c>
      <c r="N52" s="137"/>
      <c r="O52" s="143">
        <f>I8+I18+I28+I38+I48</f>
        <v>226635</v>
      </c>
      <c r="P52" s="143">
        <f t="shared" ref="P52:Q52" si="25">J8+J18+J28+J38+J48</f>
        <v>106520</v>
      </c>
      <c r="Q52" s="143">
        <f t="shared" si="25"/>
        <v>87255</v>
      </c>
      <c r="R52" s="143">
        <f>SUM(O52:Q52)</f>
        <v>420410</v>
      </c>
    </row>
    <row r="53" spans="7:18" x14ac:dyDescent="0.25">
      <c r="N53" s="137"/>
      <c r="O53" s="137"/>
      <c r="P53" s="137"/>
      <c r="Q53" s="137"/>
      <c r="R53" s="137"/>
    </row>
    <row r="54" spans="7:18" x14ac:dyDescent="0.25">
      <c r="M54" s="139">
        <f>199999999-('Project 1 VDOT'!J42+'Project 2 DRPT'!J33+'Project 3 VA Energy'!J36+'Project 4a VPA'!J34+'Project 4b VPA'!J34+'Project 4c VPA'!J44)</f>
        <v>440410</v>
      </c>
      <c r="N54" s="137"/>
      <c r="O54" s="137"/>
      <c r="P54" s="137"/>
      <c r="Q54" s="137"/>
      <c r="R54" s="137"/>
    </row>
    <row r="55" spans="7:18" x14ac:dyDescent="0.25">
      <c r="L55" s="137"/>
      <c r="M55" s="139"/>
      <c r="N55" s="137"/>
      <c r="O55" s="144">
        <f>O52/6</f>
        <v>37772.5</v>
      </c>
      <c r="P55" s="144">
        <f>P52/6</f>
        <v>17753.333333333332</v>
      </c>
      <c r="Q55" s="144">
        <f>Q52/6</f>
        <v>14542.5</v>
      </c>
      <c r="R55" s="137"/>
    </row>
  </sheetData>
  <mergeCells count="6">
    <mergeCell ref="G41:L41"/>
    <mergeCell ref="A1:D1"/>
    <mergeCell ref="G1:L1"/>
    <mergeCell ref="G11:L11"/>
    <mergeCell ref="G21:L21"/>
    <mergeCell ref="G31:L31"/>
  </mergeCell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9D677-ED77-4DBF-B7E5-5801C3949CCA}">
  <sheetPr>
    <tabColor theme="7" tint="0.59999389629810485"/>
  </sheetPr>
  <dimension ref="A1:L14"/>
  <sheetViews>
    <sheetView workbookViewId="0">
      <selection activeCell="A9" sqref="A9"/>
    </sheetView>
  </sheetViews>
  <sheetFormatPr defaultRowHeight="15" x14ac:dyDescent="0.25"/>
  <cols>
    <col min="1" max="1" width="43" bestFit="1" customWidth="1"/>
    <col min="2" max="2" width="32.7109375" customWidth="1"/>
    <col min="3" max="3" width="23.28515625" bestFit="1" customWidth="1"/>
    <col min="4" max="4" width="7" bestFit="1" customWidth="1"/>
    <col min="5" max="5" width="28" bestFit="1" customWidth="1"/>
    <col min="6" max="6" width="17.7109375" bestFit="1" customWidth="1"/>
    <col min="7" max="7" width="11.28515625" customWidth="1"/>
    <col min="9" max="9" width="0" hidden="1" customWidth="1"/>
    <col min="10" max="11" width="0" style="137" hidden="1" customWidth="1"/>
    <col min="12" max="12" width="0" hidden="1" customWidth="1"/>
  </cols>
  <sheetData>
    <row r="1" spans="1:12" x14ac:dyDescent="0.25">
      <c r="A1" s="170" t="s">
        <v>101</v>
      </c>
      <c r="B1" s="80" t="s">
        <v>102</v>
      </c>
      <c r="C1" s="8" t="s">
        <v>103</v>
      </c>
      <c r="D1" s="80" t="s">
        <v>104</v>
      </c>
      <c r="E1" s="80" t="s">
        <v>105</v>
      </c>
      <c r="F1" s="80" t="s">
        <v>106</v>
      </c>
      <c r="G1" s="80" t="s">
        <v>26</v>
      </c>
    </row>
    <row r="2" spans="1:12" ht="23.45" customHeight="1" x14ac:dyDescent="0.25">
      <c r="A2" s="171" t="s">
        <v>148</v>
      </c>
      <c r="B2" s="213" t="s">
        <v>107</v>
      </c>
      <c r="C2" s="9" t="s">
        <v>108</v>
      </c>
      <c r="D2" s="172">
        <v>107</v>
      </c>
      <c r="E2" s="173">
        <v>2</v>
      </c>
      <c r="F2" s="173">
        <v>3</v>
      </c>
      <c r="G2" s="174">
        <f>ROUND((D2*E2)*F2,0)</f>
        <v>642</v>
      </c>
    </row>
    <row r="3" spans="1:12" ht="30" x14ac:dyDescent="0.25">
      <c r="A3" s="35" t="s">
        <v>149</v>
      </c>
      <c r="B3" s="213"/>
      <c r="C3" s="175" t="s">
        <v>109</v>
      </c>
      <c r="D3" s="172">
        <v>44</v>
      </c>
      <c r="E3" s="173">
        <v>2</v>
      </c>
      <c r="F3" s="173">
        <v>3</v>
      </c>
      <c r="G3" s="174">
        <f>ROUND((D3*E3)*F3,0)</f>
        <v>264</v>
      </c>
    </row>
    <row r="4" spans="1:12" ht="30" x14ac:dyDescent="0.25">
      <c r="A4" s="35" t="s">
        <v>151</v>
      </c>
      <c r="B4" s="213"/>
      <c r="C4" s="175" t="s">
        <v>110</v>
      </c>
      <c r="D4" s="176">
        <v>0.67</v>
      </c>
      <c r="E4" s="173">
        <f>92*2</f>
        <v>184</v>
      </c>
      <c r="F4" s="173">
        <v>3</v>
      </c>
      <c r="G4" s="174">
        <f>ROUND((D4*E4)*F4,0)</f>
        <v>370</v>
      </c>
      <c r="J4" s="137">
        <f>1276/3</f>
        <v>425.33333333333331</v>
      </c>
      <c r="K4" s="137">
        <f>1276*5</f>
        <v>6380</v>
      </c>
    </row>
    <row r="5" spans="1:12" ht="30" x14ac:dyDescent="0.25">
      <c r="A5" s="35" t="s">
        <v>150</v>
      </c>
      <c r="B5" s="213"/>
      <c r="C5" s="214" t="s">
        <v>111</v>
      </c>
      <c r="D5" s="215"/>
      <c r="E5" s="215"/>
      <c r="F5" s="216"/>
      <c r="G5" s="177">
        <f>SUM(G2:G4)</f>
        <v>1276</v>
      </c>
      <c r="I5" s="143">
        <f>G5*5</f>
        <v>6380</v>
      </c>
      <c r="J5" s="137">
        <f>(426*5)+(425*5)+(425*5)</f>
        <v>6380</v>
      </c>
    </row>
    <row r="6" spans="1:12" x14ac:dyDescent="0.25">
      <c r="A6" s="211"/>
      <c r="B6" s="212"/>
      <c r="C6" s="8" t="s">
        <v>103</v>
      </c>
      <c r="D6" s="80" t="s">
        <v>104</v>
      </c>
      <c r="E6" s="80" t="s">
        <v>105</v>
      </c>
      <c r="F6" s="80" t="s">
        <v>106</v>
      </c>
      <c r="G6" s="80" t="s">
        <v>26</v>
      </c>
      <c r="I6" s="137"/>
    </row>
    <row r="7" spans="1:12" x14ac:dyDescent="0.25">
      <c r="A7" s="189" t="s">
        <v>157</v>
      </c>
      <c r="C7" s="9" t="s">
        <v>112</v>
      </c>
      <c r="D7" s="172">
        <v>245</v>
      </c>
      <c r="E7" s="173">
        <v>2</v>
      </c>
      <c r="F7" s="173">
        <v>3</v>
      </c>
      <c r="G7" s="174">
        <f>ROUND((D7*E7)*F7,0)</f>
        <v>1470</v>
      </c>
      <c r="I7" s="137"/>
    </row>
    <row r="8" spans="1:12" ht="60" x14ac:dyDescent="0.25">
      <c r="A8" s="35" t="s">
        <v>153</v>
      </c>
      <c r="B8" s="182" t="s">
        <v>155</v>
      </c>
      <c r="C8" s="175" t="s">
        <v>113</v>
      </c>
      <c r="D8" s="172">
        <v>48</v>
      </c>
      <c r="E8" s="173">
        <v>2</v>
      </c>
      <c r="F8" s="173">
        <v>3</v>
      </c>
      <c r="G8" s="174">
        <f>ROUND((D8*E8)*F8,0)</f>
        <v>288</v>
      </c>
      <c r="I8" s="137"/>
    </row>
    <row r="9" spans="1:12" ht="60" x14ac:dyDescent="0.25">
      <c r="A9" s="190" t="s">
        <v>154</v>
      </c>
      <c r="B9" s="182" t="s">
        <v>156</v>
      </c>
      <c r="C9" s="175" t="s">
        <v>110</v>
      </c>
      <c r="D9" s="176">
        <v>0.67</v>
      </c>
      <c r="E9" s="173">
        <f>240*2</f>
        <v>480</v>
      </c>
      <c r="F9" s="173">
        <v>3</v>
      </c>
      <c r="G9" s="174">
        <f>ROUND((D9*E9)*F9,0)+1</f>
        <v>966</v>
      </c>
      <c r="I9" s="137"/>
    </row>
    <row r="10" spans="1:12" x14ac:dyDescent="0.25">
      <c r="A10" s="187"/>
      <c r="B10" s="188"/>
      <c r="C10" s="183" t="s">
        <v>111</v>
      </c>
      <c r="D10" s="184"/>
      <c r="E10" s="184"/>
      <c r="F10" s="185"/>
      <c r="G10" s="177">
        <f>SUM(G7:G9)</f>
        <v>2724</v>
      </c>
      <c r="I10" s="143">
        <f>G10*5</f>
        <v>13620</v>
      </c>
      <c r="J10" s="143">
        <f>G10/3</f>
        <v>908</v>
      </c>
      <c r="L10" s="142">
        <f>G10/2</f>
        <v>1362</v>
      </c>
    </row>
    <row r="13" spans="1:12" ht="15.75" thickBot="1" x14ac:dyDescent="0.3">
      <c r="F13" s="178" t="s">
        <v>114</v>
      </c>
      <c r="G13" s="179">
        <f>SUM(G5,G10)</f>
        <v>4000</v>
      </c>
    </row>
    <row r="14" spans="1:12" ht="15.75" thickTop="1" x14ac:dyDescent="0.25"/>
  </sheetData>
  <mergeCells count="3">
    <mergeCell ref="A6:B6"/>
    <mergeCell ref="B2:B5"/>
    <mergeCell ref="C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K31"/>
  <sheetViews>
    <sheetView showGridLines="0" topLeftCell="A2" zoomScale="83" zoomScaleNormal="85" workbookViewId="0">
      <selection activeCell="U12" sqref="U12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20.42578125" style="6" customWidth="1"/>
    <col min="5" max="5" width="17.85546875" style="2" customWidth="1"/>
    <col min="6" max="6" width="21.28515625" customWidth="1"/>
    <col min="7" max="7" width="19.140625" customWidth="1"/>
    <col min="8" max="8" width="22" style="2" customWidth="1"/>
    <col min="9" max="9" width="3.5703125" style="7" customWidth="1"/>
    <col min="10" max="10" width="20.140625" customWidth="1"/>
    <col min="11" max="11" width="10.140625" hidden="1" customWidth="1"/>
    <col min="12" max="12" width="12.7109375" style="137" hidden="1" customWidth="1"/>
    <col min="13" max="13" width="12.140625" style="137" hidden="1" customWidth="1"/>
    <col min="14" max="14" width="10.28515625" style="137" hidden="1" customWidth="1"/>
    <col min="15" max="15" width="9.140625" style="137" hidden="1" customWidth="1"/>
    <col min="16" max="16" width="19.85546875" style="137" hidden="1" customWidth="1"/>
    <col min="17" max="17" width="14.28515625" style="137" hidden="1" customWidth="1"/>
    <col min="18" max="18" width="9.140625" style="137" hidden="1" customWidth="1"/>
    <col min="19" max="19" width="9.5703125" bestFit="1" customWidth="1"/>
  </cols>
  <sheetData>
    <row r="2" spans="2:37" ht="23.25" x14ac:dyDescent="0.35">
      <c r="B2" s="15" t="s">
        <v>0</v>
      </c>
    </row>
    <row r="3" spans="2:37" ht="26.45" customHeight="1" x14ac:dyDescent="0.25">
      <c r="B3" s="202" t="s">
        <v>1</v>
      </c>
      <c r="C3" s="202"/>
      <c r="D3" s="202"/>
      <c r="E3" s="202"/>
      <c r="F3" s="202"/>
      <c r="G3" s="202"/>
      <c r="H3" s="202"/>
      <c r="I3" s="202"/>
      <c r="J3" s="202"/>
    </row>
    <row r="4" spans="2:37" ht="15" customHeight="1" x14ac:dyDescent="0.25">
      <c r="B4" s="5"/>
    </row>
    <row r="5" spans="2:37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9"/>
    </row>
    <row r="6" spans="2:37" ht="17.100000000000001" customHeight="1" x14ac:dyDescent="0.25">
      <c r="B6" s="30" t="s">
        <v>3</v>
      </c>
      <c r="C6" s="30" t="s">
        <v>4</v>
      </c>
      <c r="D6" s="30" t="s">
        <v>5</v>
      </c>
      <c r="E6" s="31" t="s">
        <v>6</v>
      </c>
      <c r="F6" s="31" t="s">
        <v>7</v>
      </c>
      <c r="G6" s="31" t="s">
        <v>8</v>
      </c>
      <c r="H6" s="32" t="s">
        <v>9</v>
      </c>
      <c r="I6" s="33"/>
      <c r="J6" s="40" t="s">
        <v>10</v>
      </c>
      <c r="M6" s="137" t="s">
        <v>136</v>
      </c>
      <c r="N6" s="137" t="s">
        <v>137</v>
      </c>
      <c r="O6" s="137" t="s">
        <v>138</v>
      </c>
      <c r="P6" s="137" t="s">
        <v>28</v>
      </c>
    </row>
    <row r="7" spans="2:37" s="5" customFormat="1" x14ac:dyDescent="0.25">
      <c r="B7" s="12" t="s">
        <v>11</v>
      </c>
      <c r="C7" s="72" t="s">
        <v>12</v>
      </c>
      <c r="D7" s="74">
        <f>'Measure 1 Budget'!D12+'Measure 2 Budget'!D12</f>
        <v>53028</v>
      </c>
      <c r="E7" s="74">
        <f>'Measure 1 Budget'!E12+'Measure 2 Budget'!E12</f>
        <v>54612</v>
      </c>
      <c r="F7" s="74">
        <f>'Measure 1 Budget'!F12+'Measure 2 Budget'!F12</f>
        <v>45360</v>
      </c>
      <c r="G7" s="74">
        <f>'Measure 1 Budget'!G12+'Measure 2 Budget'!G12</f>
        <v>39192</v>
      </c>
      <c r="H7" s="74">
        <f>'Measure 1 Budget'!H12+'Measure 2 Budget'!H12</f>
        <v>34446</v>
      </c>
      <c r="I7" s="145"/>
      <c r="J7" s="74">
        <f>SUM(D7:I7)</f>
        <v>226638</v>
      </c>
      <c r="K7"/>
      <c r="L7" s="137"/>
      <c r="M7" s="137">
        <v>226635</v>
      </c>
      <c r="N7" s="137">
        <v>106520</v>
      </c>
      <c r="O7" s="137">
        <v>87255</v>
      </c>
      <c r="P7" s="137">
        <v>420410</v>
      </c>
      <c r="Q7" s="137"/>
      <c r="R7" s="13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2:37" x14ac:dyDescent="0.25">
      <c r="B8" s="13"/>
      <c r="C8" s="72" t="s">
        <v>13</v>
      </c>
      <c r="D8" s="74">
        <f>'Measure 1 Budget'!D15+'Measure 2 Budget'!D15</f>
        <v>24924</v>
      </c>
      <c r="E8" s="74">
        <f>'Measure 1 Budget'!E15+'Measure 2 Budget'!E15</f>
        <v>25668</v>
      </c>
      <c r="F8" s="74">
        <f>'Measure 1 Budget'!F15+'Measure 2 Budget'!F15</f>
        <v>21318</v>
      </c>
      <c r="G8" s="74">
        <f>'Measure 1 Budget'!G15+'Measure 2 Budget'!G15</f>
        <v>18420</v>
      </c>
      <c r="H8" s="74">
        <f>'Measure 1 Budget'!H15+'Measure 2 Budget'!H15</f>
        <v>16188</v>
      </c>
      <c r="I8" s="145"/>
      <c r="J8" s="74">
        <f t="shared" ref="J8:J14" si="0">SUM(D8:I8)</f>
        <v>106518</v>
      </c>
    </row>
    <row r="9" spans="2:37" x14ac:dyDescent="0.25">
      <c r="B9" s="13"/>
      <c r="C9" s="72" t="s">
        <v>14</v>
      </c>
      <c r="D9" s="74">
        <f>'Measure 1 Budget'!D18+'Measure 2 Budget'!D18</f>
        <v>4000</v>
      </c>
      <c r="E9" s="74">
        <f>'Measure 1 Budget'!E18+'Measure 2 Budget'!E18</f>
        <v>4000</v>
      </c>
      <c r="F9" s="74">
        <f>'Measure 1 Budget'!F18+'Measure 2 Budget'!F18</f>
        <v>4000</v>
      </c>
      <c r="G9" s="74">
        <f>'Measure 1 Budget'!G18+'Measure 2 Budget'!G18</f>
        <v>4000</v>
      </c>
      <c r="H9" s="74">
        <f>'Measure 1 Budget'!H18+'Measure 2 Budget'!H18</f>
        <v>4000</v>
      </c>
      <c r="I9" s="145"/>
      <c r="J9" s="74">
        <f t="shared" si="0"/>
        <v>20000</v>
      </c>
    </row>
    <row r="10" spans="2:37" x14ac:dyDescent="0.25">
      <c r="B10" s="13"/>
      <c r="C10" s="72" t="s">
        <v>15</v>
      </c>
      <c r="D10" s="74">
        <f>'Measure 1 Budget'!D21+'Measure 2 Budget'!D21</f>
        <v>0</v>
      </c>
      <c r="E10" s="74">
        <f>'Measure 1 Budget'!E21+'Measure 2 Budget'!E21</f>
        <v>0</v>
      </c>
      <c r="F10" s="74">
        <f>'Measure 1 Budget'!F21+'Measure 2 Budget'!F21</f>
        <v>0</v>
      </c>
      <c r="G10" s="74">
        <f>'Measure 1 Budget'!G21+'Measure 2 Budget'!G21</f>
        <v>0</v>
      </c>
      <c r="H10" s="74">
        <f>'Measure 1 Budget'!H21+'Measure 2 Budget'!H21</f>
        <v>0</v>
      </c>
      <c r="I10" s="145"/>
      <c r="J10" s="74">
        <f t="shared" si="0"/>
        <v>0</v>
      </c>
      <c r="M10" s="137">
        <v>37772.5</v>
      </c>
      <c r="N10" s="137">
        <v>17753.333333333332</v>
      </c>
      <c r="O10" s="137">
        <v>14542.5</v>
      </c>
    </row>
    <row r="11" spans="2:37" x14ac:dyDescent="0.25">
      <c r="B11" s="13"/>
      <c r="C11" s="72" t="s">
        <v>16</v>
      </c>
      <c r="D11" s="74">
        <f>'Measure 1 Budget'!D24+'Measure 2 Budget'!D24</f>
        <v>0</v>
      </c>
      <c r="E11" s="74">
        <f>'Measure 1 Budget'!E24+'Measure 2 Budget'!E24</f>
        <v>0</v>
      </c>
      <c r="F11" s="74">
        <f>'Measure 1 Budget'!F24+'Measure 2 Budget'!F24</f>
        <v>0</v>
      </c>
      <c r="G11" s="74">
        <f>'Measure 1 Budget'!G24+'Measure 2 Budget'!G24</f>
        <v>0</v>
      </c>
      <c r="H11" s="74">
        <f>'Measure 1 Budget'!H24+'Measure 2 Budget'!H24</f>
        <v>0</v>
      </c>
      <c r="I11" s="145"/>
      <c r="J11" s="74">
        <f t="shared" si="0"/>
        <v>0</v>
      </c>
    </row>
    <row r="12" spans="2:37" x14ac:dyDescent="0.25">
      <c r="B12" s="13"/>
      <c r="C12" s="72" t="s">
        <v>17</v>
      </c>
      <c r="D12" s="74">
        <f>'Measure 1 Budget'!D27+'Measure 2 Budget'!D27</f>
        <v>0</v>
      </c>
      <c r="E12" s="74">
        <f>'Measure 1 Budget'!E27+'Measure 2 Budget'!E27</f>
        <v>0</v>
      </c>
      <c r="F12" s="74">
        <f>'Measure 1 Budget'!F27+'Measure 2 Budget'!F27</f>
        <v>0</v>
      </c>
      <c r="G12" s="74">
        <f>'Measure 1 Budget'!G27+'Measure 2 Budget'!G27</f>
        <v>0</v>
      </c>
      <c r="H12" s="74">
        <f>'Measure 1 Budget'!H27+'Measure 2 Budget'!H27</f>
        <v>0</v>
      </c>
      <c r="I12" s="145"/>
      <c r="J12" s="74">
        <f t="shared" si="0"/>
        <v>0</v>
      </c>
    </row>
    <row r="13" spans="2:37" x14ac:dyDescent="0.25">
      <c r="B13" s="13"/>
      <c r="C13" s="72" t="s">
        <v>18</v>
      </c>
      <c r="D13" s="74">
        <f>'Measure 1 Budget'!D60+'Measure 2 Budget'!D51</f>
        <v>33216469</v>
      </c>
      <c r="E13" s="74">
        <f>'Measure 1 Budget'!E60+'Measure 2 Budget'!E51</f>
        <v>76770338</v>
      </c>
      <c r="F13" s="74">
        <f>'Measure 1 Budget'!F60+'Measure 2 Budget'!F51</f>
        <v>58306244</v>
      </c>
      <c r="G13" s="74">
        <f>'Measure 1 Budget'!G60+'Measure 2 Budget'!G51</f>
        <v>25460209</v>
      </c>
      <c r="H13" s="74">
        <f>'Measure 1 Budget'!H60+'Measure 2 Budget'!H51</f>
        <v>5806329</v>
      </c>
      <c r="I13" s="145"/>
      <c r="J13" s="74">
        <f t="shared" si="0"/>
        <v>199559589</v>
      </c>
    </row>
    <row r="14" spans="2:37" x14ac:dyDescent="0.25">
      <c r="B14" s="14"/>
      <c r="C14" s="45" t="s">
        <v>19</v>
      </c>
      <c r="D14" s="47">
        <f>D13+D12+D11+D10+D9+D8+D7</f>
        <v>33298421</v>
      </c>
      <c r="E14" s="47">
        <f>E13+E12+E11+E10+E9+E8+E7</f>
        <v>76854618</v>
      </c>
      <c r="F14" s="47">
        <f>F13+F12+F11+F10+F9+F8+F7</f>
        <v>58376922</v>
      </c>
      <c r="G14" s="47">
        <f>G13+G12+G11+G10+G9+G8+G7</f>
        <v>25521821</v>
      </c>
      <c r="H14" s="47">
        <f>H13+H12+H11+H10+H9+H8+H7</f>
        <v>5860963</v>
      </c>
      <c r="I14" s="50"/>
      <c r="J14" s="47">
        <f t="shared" si="0"/>
        <v>199912745</v>
      </c>
    </row>
    <row r="15" spans="2:37" x14ac:dyDescent="0.25">
      <c r="B15" s="38"/>
      <c r="C15" s="44"/>
      <c r="D15" s="44"/>
      <c r="E15" s="44"/>
      <c r="F15" s="44"/>
      <c r="G15" s="44"/>
      <c r="H15" s="44"/>
      <c r="I15" s="44"/>
      <c r="J15" s="66" t="s">
        <v>20</v>
      </c>
    </row>
    <row r="16" spans="2:37" ht="20.100000000000001" customHeight="1" x14ac:dyDescent="0.25">
      <c r="B16" s="38"/>
      <c r="C16" s="45" t="s">
        <v>21</v>
      </c>
      <c r="D16" s="119">
        <f>'Measure 1 Budget'!D65+'Measure 2 Budget'!D56</f>
        <v>20418</v>
      </c>
      <c r="E16" s="119">
        <f>'Measure 1 Budget'!E65+'Measure 2 Budget'!E56</f>
        <v>21024</v>
      </c>
      <c r="F16" s="119">
        <f>'Measure 1 Budget'!F65+'Measure 2 Budget'!F56</f>
        <v>17462</v>
      </c>
      <c r="G16" s="119">
        <f>'Measure 1 Budget'!G65+'Measure 2 Budget'!G56</f>
        <v>15090</v>
      </c>
      <c r="H16" s="119">
        <f>'Measure 1 Budget'!H65+'Measure 2 Budget'!H56</f>
        <v>13260</v>
      </c>
      <c r="I16" s="44"/>
      <c r="J16" s="119">
        <f>SUM(D16:H16)</f>
        <v>87254</v>
      </c>
    </row>
    <row r="17" spans="2:19" ht="15.75" thickBot="1" x14ac:dyDescent="0.3">
      <c r="B17" s="38"/>
      <c r="C17" s="44"/>
      <c r="D17" s="44"/>
      <c r="E17" s="44"/>
      <c r="F17" s="44"/>
      <c r="G17" s="44"/>
      <c r="H17" s="44"/>
      <c r="I17" s="44"/>
      <c r="J17" s="66" t="s">
        <v>20</v>
      </c>
      <c r="S17" s="19"/>
    </row>
    <row r="18" spans="2:19" ht="30.95" customHeight="1" thickBot="1" x14ac:dyDescent="0.3">
      <c r="B18" s="37" t="s">
        <v>22</v>
      </c>
      <c r="C18" s="51"/>
      <c r="D18" s="120">
        <f>D14+D16</f>
        <v>33318839</v>
      </c>
      <c r="E18" s="120">
        <f>E14+E16</f>
        <v>76875642</v>
      </c>
      <c r="F18" s="120">
        <f>F14+F16</f>
        <v>58394384</v>
      </c>
      <c r="G18" s="120">
        <f>G14+G16</f>
        <v>25536911</v>
      </c>
      <c r="H18" s="120">
        <f>H14+H16</f>
        <v>5874223</v>
      </c>
      <c r="I18" s="71"/>
      <c r="J18" s="121">
        <f>J14+J16</f>
        <v>199999999</v>
      </c>
    </row>
    <row r="19" spans="2:19" s="1" customFormat="1" x14ac:dyDescent="0.25">
      <c r="B19" s="6"/>
      <c r="C19" s="44"/>
      <c r="D19" s="54"/>
      <c r="E19" s="55"/>
      <c r="F19" s="44"/>
      <c r="G19" s="44"/>
      <c r="H19" s="55"/>
      <c r="I19" s="44"/>
      <c r="J19" s="44"/>
      <c r="L19" s="169"/>
      <c r="M19" s="169"/>
      <c r="N19" s="169"/>
      <c r="O19" s="169"/>
      <c r="P19" s="169"/>
      <c r="Q19" s="169"/>
      <c r="R19" s="169"/>
    </row>
    <row r="20" spans="2:19" ht="15" customHeight="1" x14ac:dyDescent="0.25">
      <c r="B20" s="6"/>
      <c r="C20" s="44"/>
      <c r="D20" s="54"/>
      <c r="E20" s="55"/>
      <c r="F20" s="44"/>
      <c r="G20" s="44"/>
      <c r="H20" s="55"/>
      <c r="I20" s="44"/>
      <c r="J20" s="44"/>
    </row>
    <row r="21" spans="2:19" ht="15" customHeight="1" x14ac:dyDescent="0.3">
      <c r="B21" s="28" t="s">
        <v>23</v>
      </c>
      <c r="C21" s="122"/>
      <c r="D21" s="122"/>
      <c r="E21" s="204"/>
      <c r="F21" s="204"/>
      <c r="G21" s="44"/>
      <c r="H21" s="44"/>
      <c r="I21" s="44"/>
      <c r="J21" s="44"/>
    </row>
    <row r="22" spans="2:19" ht="29.1" customHeight="1" x14ac:dyDescent="0.25">
      <c r="B22" s="30" t="s">
        <v>24</v>
      </c>
      <c r="C22" s="123" t="s">
        <v>25</v>
      </c>
      <c r="D22" s="124" t="s">
        <v>26</v>
      </c>
      <c r="E22" s="205" t="s">
        <v>27</v>
      </c>
      <c r="F22" s="205"/>
      <c r="G22" s="44"/>
      <c r="H22" s="44"/>
      <c r="I22" s="44"/>
      <c r="J22" s="44"/>
      <c r="L22" s="137" t="s">
        <v>120</v>
      </c>
    </row>
    <row r="23" spans="2:19" ht="30.75" customHeight="1" x14ac:dyDescent="0.25">
      <c r="B23" s="72">
        <v>1</v>
      </c>
      <c r="C23" s="73" t="s">
        <v>44</v>
      </c>
      <c r="D23" s="148">
        <f>'Project 1 VDOT'!J49</f>
        <v>4075638</v>
      </c>
      <c r="E23" s="203">
        <f>D23/D$27</f>
        <v>2.0378190101890951E-2</v>
      </c>
      <c r="F23" s="203"/>
      <c r="G23" s="44"/>
      <c r="H23" s="44"/>
      <c r="I23" s="44"/>
      <c r="J23" s="44"/>
      <c r="L23" s="138">
        <f>4000000-'Project 1 VDOT'!J42</f>
        <v>1240</v>
      </c>
    </row>
    <row r="24" spans="2:19" ht="33" customHeight="1" x14ac:dyDescent="0.25">
      <c r="B24" s="72">
        <v>2</v>
      </c>
      <c r="C24" s="74" t="s">
        <v>45</v>
      </c>
      <c r="D24" s="148">
        <f>'Project 2 DRPT'!J40</f>
        <v>84937707</v>
      </c>
      <c r="E24" s="203">
        <f>D24/D$27</f>
        <v>0.42468853712344268</v>
      </c>
      <c r="F24" s="203"/>
      <c r="G24" s="44"/>
      <c r="H24" s="44"/>
      <c r="I24" s="44"/>
      <c r="J24" s="44"/>
      <c r="L24" s="138">
        <f>85000000-'Project 2 DRPT'!J33</f>
        <v>139171</v>
      </c>
    </row>
    <row r="25" spans="2:19" ht="15" customHeight="1" x14ac:dyDescent="0.25">
      <c r="B25" s="72">
        <v>3</v>
      </c>
      <c r="C25" s="74" t="s">
        <v>46</v>
      </c>
      <c r="D25" s="125">
        <f>'Project 3 VA Energy'!J43</f>
        <v>21070068</v>
      </c>
      <c r="E25" s="203">
        <f>D25/D$27</f>
        <v>0.1053503405267517</v>
      </c>
      <c r="F25" s="203"/>
      <c r="G25" s="44"/>
      <c r="H25" s="44"/>
      <c r="I25" s="44"/>
      <c r="J25" s="44"/>
      <c r="L25" s="139">
        <f>SUM(L23:L24)</f>
        <v>140411</v>
      </c>
    </row>
    <row r="26" spans="2:19" ht="28.15" customHeight="1" x14ac:dyDescent="0.25">
      <c r="B26" s="72">
        <v>4</v>
      </c>
      <c r="C26" s="42" t="s">
        <v>168</v>
      </c>
      <c r="D26" s="125">
        <f>'Project 4 VPA'!J58</f>
        <v>89916586</v>
      </c>
      <c r="E26" s="203">
        <f>D26/D$27</f>
        <v>0.44958293224791468</v>
      </c>
      <c r="F26" s="203"/>
      <c r="G26" s="44"/>
      <c r="H26" s="44"/>
      <c r="I26" s="44"/>
      <c r="J26" s="44"/>
      <c r="L26" s="139"/>
    </row>
    <row r="27" spans="2:19" ht="15" customHeight="1" x14ac:dyDescent="0.25">
      <c r="B27" s="72" t="s">
        <v>28</v>
      </c>
      <c r="C27" s="74"/>
      <c r="D27" s="125">
        <f>SUM(D23:D26)</f>
        <v>199999999</v>
      </c>
      <c r="E27" s="203">
        <f>SUM(E23:E26)</f>
        <v>1</v>
      </c>
      <c r="F27" s="203"/>
      <c r="G27" s="44"/>
      <c r="H27" s="44"/>
      <c r="I27" s="44"/>
      <c r="J27" s="44"/>
      <c r="P27" s="147" t="s">
        <v>117</v>
      </c>
      <c r="Q27" s="161">
        <v>3998760</v>
      </c>
      <c r="R27" s="161">
        <f>Q27-4000000</f>
        <v>-1240</v>
      </c>
    </row>
    <row r="28" spans="2:19" ht="15" customHeight="1" x14ac:dyDescent="0.25">
      <c r="B28" s="44"/>
      <c r="C28" s="44"/>
      <c r="D28" s="54"/>
      <c r="E28" s="55"/>
      <c r="F28" s="44"/>
      <c r="H28"/>
      <c r="I28"/>
      <c r="M28" s="139"/>
      <c r="P28" s="137" t="s">
        <v>118</v>
      </c>
      <c r="Q28" s="161">
        <v>89700000</v>
      </c>
      <c r="R28" s="137">
        <f>89700000-89700000</f>
        <v>0</v>
      </c>
    </row>
    <row r="29" spans="2:19" ht="15" customHeight="1" x14ac:dyDescent="0.25">
      <c r="M29" s="139"/>
      <c r="N29" s="139"/>
      <c r="P29" s="147" t="s">
        <v>119</v>
      </c>
      <c r="Q29" s="161">
        <v>84860829</v>
      </c>
      <c r="R29" s="161">
        <f>85000000-Q29</f>
        <v>139171</v>
      </c>
    </row>
    <row r="30" spans="2:19" ht="15" customHeight="1" x14ac:dyDescent="0.25">
      <c r="Q30" s="161">
        <f>SUM(Q27:Q29)</f>
        <v>178559589</v>
      </c>
      <c r="R30" s="161"/>
    </row>
    <row r="31" spans="2:19" ht="15" customHeight="1" x14ac:dyDescent="0.25">
      <c r="L31" s="139"/>
    </row>
  </sheetData>
  <mergeCells count="8">
    <mergeCell ref="B3:J3"/>
    <mergeCell ref="E27:F27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2"/>
  <sheetViews>
    <sheetView showGridLines="0" topLeftCell="C9" zoomScaleNormal="100" workbookViewId="0">
      <selection activeCell="D17" sqref="D17"/>
    </sheetView>
  </sheetViews>
  <sheetFormatPr defaultColWidth="9.140625" defaultRowHeight="15" x14ac:dyDescent="0.25"/>
  <cols>
    <col min="1" max="1" width="3.140625" style="44" customWidth="1"/>
    <col min="2" max="2" width="14.85546875" style="44" customWidth="1"/>
    <col min="3" max="3" width="52.42578125" style="44" customWidth="1"/>
    <col min="4" max="4" width="17.28515625" style="54" customWidth="1"/>
    <col min="5" max="5" width="19.42578125" style="55" customWidth="1"/>
    <col min="6" max="6" width="19.85546875" style="44" customWidth="1"/>
    <col min="7" max="7" width="20.7109375" style="44" customWidth="1"/>
    <col min="8" max="8" width="18.85546875" style="55" customWidth="1"/>
    <col min="9" max="9" width="1.7109375" style="44" customWidth="1"/>
    <col min="10" max="10" width="12.85546875" style="44" customWidth="1"/>
    <col min="11" max="11" width="11.28515625" style="44" hidden="1" customWidth="1"/>
    <col min="12" max="12" width="12.28515625" style="44" hidden="1" customWidth="1"/>
    <col min="13" max="16384" width="9.140625" style="44"/>
  </cols>
  <sheetData>
    <row r="2" spans="2:39" ht="23.25" x14ac:dyDescent="0.35">
      <c r="B2" s="53" t="s">
        <v>29</v>
      </c>
    </row>
    <row r="3" spans="2:39" x14ac:dyDescent="0.25">
      <c r="B3" s="36" t="s">
        <v>30</v>
      </c>
    </row>
    <row r="4" spans="2:39" x14ac:dyDescent="0.25">
      <c r="B4" s="36"/>
    </row>
    <row r="5" spans="2:39" ht="18.75" x14ac:dyDescent="0.3">
      <c r="B5" s="56" t="s">
        <v>2</v>
      </c>
      <c r="C5" s="57"/>
      <c r="D5" s="57"/>
      <c r="E5" s="57"/>
      <c r="F5" s="57"/>
      <c r="G5" s="57"/>
      <c r="H5" s="57"/>
      <c r="I5" s="57"/>
      <c r="J5" s="58"/>
    </row>
    <row r="6" spans="2:39" x14ac:dyDescent="0.25">
      <c r="B6" s="59" t="s">
        <v>3</v>
      </c>
      <c r="C6" s="59" t="s">
        <v>4</v>
      </c>
      <c r="D6" s="59" t="s">
        <v>5</v>
      </c>
      <c r="E6" s="60" t="s">
        <v>6</v>
      </c>
      <c r="F6" s="60" t="s">
        <v>7</v>
      </c>
      <c r="G6" s="60" t="s">
        <v>8</v>
      </c>
      <c r="H6" s="61" t="s">
        <v>9</v>
      </c>
      <c r="I6" s="62"/>
      <c r="J6" s="63" t="s">
        <v>10</v>
      </c>
    </row>
    <row r="7" spans="2:39" s="36" customFormat="1" ht="15.75" customHeight="1" x14ac:dyDescent="0.25">
      <c r="B7" s="64" t="s">
        <v>11</v>
      </c>
      <c r="C7" s="65" t="s">
        <v>31</v>
      </c>
      <c r="D7" s="153" t="s">
        <v>32</v>
      </c>
      <c r="E7" s="153" t="s">
        <v>32</v>
      </c>
      <c r="F7" s="153" t="s">
        <v>32</v>
      </c>
      <c r="G7" s="153"/>
      <c r="H7" s="153" t="s">
        <v>32</v>
      </c>
      <c r="I7" s="131"/>
      <c r="J7" s="154" t="s">
        <v>32</v>
      </c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</row>
    <row r="8" spans="2:39" s="36" customFormat="1" x14ac:dyDescent="0.25">
      <c r="B8" s="152"/>
      <c r="C8" s="41" t="s">
        <v>129</v>
      </c>
      <c r="D8" s="153">
        <f>'Project 1 VDOT'!D8+'Project 2 DRPT'!D8+'Project 3 VA Energy'!D8</f>
        <v>8931</v>
      </c>
      <c r="E8" s="153">
        <f>'Project 1 VDOT'!E8+'Project 2 DRPT'!E8+'Project 3 VA Energy'!E8</f>
        <v>9198</v>
      </c>
      <c r="F8" s="153">
        <f>'Project 1 VDOT'!F8+'Project 2 DRPT'!F8+'Project 3 VA Energy'!F8</f>
        <v>7359</v>
      </c>
      <c r="G8" s="153">
        <f>'Project 1 VDOT'!G8+'Project 2 DRPT'!G8+'Project 3 VA Energy'!G8</f>
        <v>6132</v>
      </c>
      <c r="H8" s="153">
        <f>'Project 1 VDOT'!H8+'Project 2 DRPT'!H8+'Project 3 VA Energy'!H8</f>
        <v>6132</v>
      </c>
      <c r="I8" s="131"/>
      <c r="J8" s="154">
        <f>SUM(D8:H8)</f>
        <v>37752</v>
      </c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</row>
    <row r="9" spans="2:39" x14ac:dyDescent="0.25">
      <c r="B9" s="67"/>
      <c r="C9" s="41" t="s">
        <v>130</v>
      </c>
      <c r="D9" s="153">
        <f>'Project 1 VDOT'!D9+'Project 2 DRPT'!D9+'Project 3 VA Energy'!D9</f>
        <v>8253</v>
      </c>
      <c r="E9" s="153">
        <f>'Project 1 VDOT'!E9+'Project 2 DRPT'!E9+'Project 3 VA Energy'!E9</f>
        <v>8499</v>
      </c>
      <c r="F9" s="153">
        <f>'Project 1 VDOT'!F9+'Project 2 DRPT'!F9+'Project 3 VA Energy'!F9</f>
        <v>6801</v>
      </c>
      <c r="G9" s="153">
        <f>'Project 1 VDOT'!G9+'Project 2 DRPT'!G9+'Project 3 VA Energy'!G9</f>
        <v>5667</v>
      </c>
      <c r="H9" s="153">
        <f>'Project 1 VDOT'!H9+'Project 2 DRPT'!H9+'Project 3 VA Energy'!H9</f>
        <v>5667</v>
      </c>
      <c r="I9" s="131"/>
      <c r="J9" s="154">
        <f t="shared" ref="J9:J11" si="0">SUM(D9:H9)</f>
        <v>34887</v>
      </c>
    </row>
    <row r="10" spans="2:39" x14ac:dyDescent="0.25">
      <c r="B10" s="67"/>
      <c r="C10" s="41" t="s">
        <v>131</v>
      </c>
      <c r="D10" s="153">
        <f>'Project 1 VDOT'!D10+'Project 2 DRPT'!D10+'Project 3 VA Energy'!D10</f>
        <v>5280</v>
      </c>
      <c r="E10" s="153">
        <f>'Project 1 VDOT'!E10+'Project 2 DRPT'!E10+'Project 3 VA Energy'!E10</f>
        <v>5439</v>
      </c>
      <c r="F10" s="153">
        <f>'Project 1 VDOT'!F10+'Project 2 DRPT'!F10+'Project 3 VA Energy'!F10</f>
        <v>4350</v>
      </c>
      <c r="G10" s="153">
        <f>'Project 1 VDOT'!G10+'Project 2 DRPT'!G10+'Project 3 VA Energy'!G10</f>
        <v>3627</v>
      </c>
      <c r="H10" s="153">
        <f>'Project 1 VDOT'!H10+'Project 2 DRPT'!H10+'Project 3 VA Energy'!H10</f>
        <v>2922</v>
      </c>
      <c r="I10" s="131"/>
      <c r="J10" s="134">
        <f t="shared" si="0"/>
        <v>21618</v>
      </c>
    </row>
    <row r="11" spans="2:39" x14ac:dyDescent="0.25">
      <c r="B11" s="67"/>
      <c r="C11" s="41" t="s">
        <v>132</v>
      </c>
      <c r="D11" s="132">
        <f>'Project 1 VDOT'!D11+'Project 2 DRPT'!D11+'Project 3 VA Energy'!D11</f>
        <v>4050</v>
      </c>
      <c r="E11" s="132">
        <f>'Project 1 VDOT'!E11+'Project 2 DRPT'!E11+'Project 3 VA Energy'!E11</f>
        <v>4170</v>
      </c>
      <c r="F11" s="132">
        <f>'Project 1 VDOT'!F11+'Project 2 DRPT'!F11+'Project 3 VA Energy'!F11</f>
        <v>4170</v>
      </c>
      <c r="G11" s="132">
        <f>'Project 1 VDOT'!G11+'Project 2 DRPT'!G11+'Project 3 VA Energy'!G11</f>
        <v>4170</v>
      </c>
      <c r="H11" s="132">
        <f>'Project 1 VDOT'!H11+'Project 2 DRPT'!H11+'Project 3 VA Energy'!H11</f>
        <v>2502</v>
      </c>
      <c r="I11" s="131"/>
      <c r="J11" s="134">
        <f t="shared" si="0"/>
        <v>19062</v>
      </c>
    </row>
    <row r="12" spans="2:39" x14ac:dyDescent="0.25">
      <c r="B12" s="67"/>
      <c r="C12" s="151" t="s">
        <v>12</v>
      </c>
      <c r="D12" s="164">
        <f>SUM(D8:D11)</f>
        <v>26514</v>
      </c>
      <c r="E12" s="164">
        <f t="shared" ref="E12:H12" si="1">SUM(E8:E11)</f>
        <v>27306</v>
      </c>
      <c r="F12" s="164">
        <f t="shared" si="1"/>
        <v>22680</v>
      </c>
      <c r="G12" s="164">
        <f t="shared" si="1"/>
        <v>19596</v>
      </c>
      <c r="H12" s="164">
        <f t="shared" si="1"/>
        <v>17223</v>
      </c>
      <c r="I12" s="131"/>
      <c r="J12" s="133">
        <f>SUM(J8:J11)</f>
        <v>113319</v>
      </c>
    </row>
    <row r="13" spans="2:39" x14ac:dyDescent="0.25">
      <c r="B13" s="67"/>
      <c r="C13" s="48" t="s">
        <v>33</v>
      </c>
      <c r="D13" s="115" t="s">
        <v>32</v>
      </c>
      <c r="E13" s="132"/>
      <c r="F13" s="132"/>
      <c r="G13" s="132"/>
      <c r="H13" s="132"/>
      <c r="I13" s="131"/>
      <c r="J13" s="134" t="s">
        <v>32</v>
      </c>
    </row>
    <row r="14" spans="2:39" x14ac:dyDescent="0.25">
      <c r="B14" s="67"/>
      <c r="C14" s="126" t="s">
        <v>127</v>
      </c>
      <c r="D14" s="115">
        <f>'Project 1 VDOT'!D15+'Project 2 DRPT'!D15+'Project 3 VA Energy'!D15</f>
        <v>12462</v>
      </c>
      <c r="E14" s="115">
        <f>'Project 1 VDOT'!E15+'Project 2 DRPT'!E15+'Project 3 VA Energy'!E15</f>
        <v>12834</v>
      </c>
      <c r="F14" s="115">
        <f>'Project 1 VDOT'!F15+'Project 2 DRPT'!F15+'Project 3 VA Energy'!F15</f>
        <v>10659</v>
      </c>
      <c r="G14" s="115">
        <f>'Project 1 VDOT'!G15+'Project 2 DRPT'!G15+'Project 3 VA Energy'!G15</f>
        <v>9210</v>
      </c>
      <c r="H14" s="115">
        <f>'Project 1 VDOT'!H15+'Project 2 DRPT'!H15+'Project 3 VA Energy'!H15</f>
        <v>8094</v>
      </c>
      <c r="I14" s="131"/>
      <c r="J14" s="115">
        <f t="shared" ref="J14" si="2">SUM(D14:H14)</f>
        <v>53259</v>
      </c>
    </row>
    <row r="15" spans="2:39" x14ac:dyDescent="0.25">
      <c r="B15" s="67"/>
      <c r="C15" s="45" t="s">
        <v>13</v>
      </c>
      <c r="D15" s="133">
        <f>SUM(D14:D14)</f>
        <v>12462</v>
      </c>
      <c r="E15" s="133">
        <f>SUM(E14:E14)</f>
        <v>12834</v>
      </c>
      <c r="F15" s="133">
        <f>SUM(F14:F14)</f>
        <v>10659</v>
      </c>
      <c r="G15" s="133">
        <f>SUM(G14:G14)</f>
        <v>9210</v>
      </c>
      <c r="H15" s="133">
        <f>SUM(H14:H14)</f>
        <v>8094</v>
      </c>
      <c r="I15" s="131"/>
      <c r="J15" s="133">
        <f>SUM(J14:J14)</f>
        <v>53259</v>
      </c>
    </row>
    <row r="16" spans="2:39" x14ac:dyDescent="0.25">
      <c r="B16" s="67"/>
      <c r="C16" s="48" t="s">
        <v>34</v>
      </c>
      <c r="D16" s="115"/>
      <c r="E16" s="115"/>
      <c r="F16" s="115"/>
      <c r="G16" s="115"/>
      <c r="H16" s="115"/>
      <c r="I16" s="131"/>
      <c r="J16" s="134"/>
    </row>
    <row r="17" spans="2:10" ht="90" x14ac:dyDescent="0.25">
      <c r="B17" s="67"/>
      <c r="C17" s="186" t="s">
        <v>163</v>
      </c>
      <c r="D17" s="115">
        <f>'Project 1 VDOT'!D18+'Project 2 DRPT'!D18+'Project 3 VA Energy'!D18</f>
        <v>2724</v>
      </c>
      <c r="E17" s="115">
        <f>'Project 1 VDOT'!E18+'Project 2 DRPT'!E18+'Project 3 VA Energy'!E18</f>
        <v>2724</v>
      </c>
      <c r="F17" s="115">
        <f>'Project 1 VDOT'!F18+'Project 2 DRPT'!F18+'Project 3 VA Energy'!F18</f>
        <v>2724</v>
      </c>
      <c r="G17" s="115">
        <f>'Project 1 VDOT'!G18+'Project 2 DRPT'!G18+'Project 3 VA Energy'!G18</f>
        <v>2724</v>
      </c>
      <c r="H17" s="115">
        <f>'Project 1 VDOT'!H18+'Project 2 DRPT'!H18+'Project 3 VA Energy'!H18</f>
        <v>2724</v>
      </c>
      <c r="I17" s="131"/>
      <c r="J17" s="115">
        <f>SUM(D17:H17)</f>
        <v>13620</v>
      </c>
    </row>
    <row r="18" spans="2:10" x14ac:dyDescent="0.25">
      <c r="B18" s="67"/>
      <c r="C18" s="45" t="s">
        <v>14</v>
      </c>
      <c r="D18" s="133">
        <f>SUM(D17:D17)</f>
        <v>2724</v>
      </c>
      <c r="E18" s="133">
        <f>SUM(E17:E17)</f>
        <v>2724</v>
      </c>
      <c r="F18" s="133">
        <f>SUM(F17:F17)</f>
        <v>2724</v>
      </c>
      <c r="G18" s="133">
        <f>SUM(G17:G17)</f>
        <v>2724</v>
      </c>
      <c r="H18" s="133">
        <f>SUM(H17:H17)</f>
        <v>2724</v>
      </c>
      <c r="I18" s="131"/>
      <c r="J18" s="133">
        <f>SUM(J17:J17)</f>
        <v>13620</v>
      </c>
    </row>
    <row r="19" spans="2:10" x14ac:dyDescent="0.25">
      <c r="B19" s="67"/>
      <c r="C19" s="149" t="s">
        <v>35</v>
      </c>
      <c r="D19" s="157"/>
      <c r="E19" s="153"/>
      <c r="F19" s="153"/>
      <c r="G19" s="153"/>
      <c r="H19" s="153"/>
      <c r="I19" s="131"/>
      <c r="J19" s="157" t="s">
        <v>20</v>
      </c>
    </row>
    <row r="20" spans="2:10" x14ac:dyDescent="0.25">
      <c r="B20" s="67"/>
      <c r="C20" s="66"/>
      <c r="D20" s="155">
        <v>0</v>
      </c>
      <c r="E20" s="155">
        <v>0</v>
      </c>
      <c r="F20" s="155">
        <v>0</v>
      </c>
      <c r="G20" s="155">
        <v>0</v>
      </c>
      <c r="H20" s="155">
        <v>0</v>
      </c>
      <c r="I20" s="131"/>
      <c r="J20" s="134">
        <f>SUM(D20:I20)</f>
        <v>0</v>
      </c>
    </row>
    <row r="21" spans="2:10" x14ac:dyDescent="0.25">
      <c r="B21" s="67" t="s">
        <v>36</v>
      </c>
      <c r="C21" s="150" t="s">
        <v>15</v>
      </c>
      <c r="D21" s="164">
        <f>SUM(D20)</f>
        <v>0</v>
      </c>
      <c r="E21" s="164">
        <f t="shared" ref="E21:H21" si="3">SUM(E20)</f>
        <v>0</v>
      </c>
      <c r="F21" s="164">
        <f t="shared" si="3"/>
        <v>0</v>
      </c>
      <c r="G21" s="164">
        <f t="shared" si="3"/>
        <v>0</v>
      </c>
      <c r="H21" s="164">
        <f t="shared" si="3"/>
        <v>0</v>
      </c>
      <c r="I21" s="131"/>
      <c r="J21" s="156">
        <f>SUM(D21:H21)</f>
        <v>0</v>
      </c>
    </row>
    <row r="22" spans="2:10" x14ac:dyDescent="0.25">
      <c r="B22" s="67"/>
      <c r="C22" s="48" t="s">
        <v>37</v>
      </c>
      <c r="D22" s="115" t="s">
        <v>32</v>
      </c>
      <c r="E22" s="132"/>
      <c r="F22" s="132"/>
      <c r="G22" s="132"/>
      <c r="H22" s="132"/>
      <c r="I22" s="131"/>
      <c r="J22" s="115"/>
    </row>
    <row r="23" spans="2:10" x14ac:dyDescent="0.25">
      <c r="B23" s="67"/>
      <c r="C23" s="41"/>
      <c r="D23" s="155">
        <v>0</v>
      </c>
      <c r="E23" s="155">
        <v>0</v>
      </c>
      <c r="F23" s="155">
        <v>0</v>
      </c>
      <c r="G23" s="155">
        <v>0</v>
      </c>
      <c r="H23" s="155">
        <v>0</v>
      </c>
      <c r="I23" s="131"/>
      <c r="J23" s="134">
        <f>SUM(D23:I23)</f>
        <v>0</v>
      </c>
    </row>
    <row r="24" spans="2:10" x14ac:dyDescent="0.25">
      <c r="B24" s="67"/>
      <c r="C24" s="45" t="s">
        <v>16</v>
      </c>
      <c r="D24" s="164">
        <f>SUM(D23)</f>
        <v>0</v>
      </c>
      <c r="E24" s="164">
        <f t="shared" ref="E24" si="4">SUM(E23)</f>
        <v>0</v>
      </c>
      <c r="F24" s="164">
        <f t="shared" ref="F24" si="5">SUM(F23)</f>
        <v>0</v>
      </c>
      <c r="G24" s="164">
        <f t="shared" ref="G24" si="6">SUM(G23)</f>
        <v>0</v>
      </c>
      <c r="H24" s="164">
        <f t="shared" ref="H24" si="7">SUM(H23)</f>
        <v>0</v>
      </c>
      <c r="I24" s="131"/>
      <c r="J24" s="133">
        <f>SUM(J23:J23)</f>
        <v>0</v>
      </c>
    </row>
    <row r="25" spans="2:10" x14ac:dyDescent="0.25">
      <c r="B25" s="67"/>
      <c r="C25" s="48" t="s">
        <v>38</v>
      </c>
      <c r="D25" s="115" t="s">
        <v>32</v>
      </c>
      <c r="E25" s="132"/>
      <c r="F25" s="132"/>
      <c r="G25" s="132"/>
      <c r="H25" s="132"/>
      <c r="I25" s="131"/>
      <c r="J25" s="115"/>
    </row>
    <row r="26" spans="2:10" x14ac:dyDescent="0.25">
      <c r="B26" s="67"/>
      <c r="C26" s="41"/>
      <c r="D26" s="155">
        <v>0</v>
      </c>
      <c r="E26" s="155">
        <v>0</v>
      </c>
      <c r="F26" s="155">
        <v>0</v>
      </c>
      <c r="G26" s="155">
        <v>0</v>
      </c>
      <c r="H26" s="155">
        <v>0</v>
      </c>
      <c r="I26" s="131"/>
      <c r="J26" s="134">
        <f>SUM(D26:I26)</f>
        <v>0</v>
      </c>
    </row>
    <row r="27" spans="2:10" x14ac:dyDescent="0.25">
      <c r="B27" s="67"/>
      <c r="C27" s="45" t="s">
        <v>17</v>
      </c>
      <c r="D27" s="164">
        <f>SUM(D26)</f>
        <v>0</v>
      </c>
      <c r="E27" s="164">
        <f t="shared" ref="E27" si="8">SUM(E26)</f>
        <v>0</v>
      </c>
      <c r="F27" s="164">
        <f t="shared" ref="F27" si="9">SUM(F26)</f>
        <v>0</v>
      </c>
      <c r="G27" s="164">
        <f t="shared" ref="G27" si="10">SUM(G26)</f>
        <v>0</v>
      </c>
      <c r="H27" s="164">
        <f t="shared" ref="H27" si="11">SUM(H26)</f>
        <v>0</v>
      </c>
      <c r="I27" s="131"/>
      <c r="J27" s="133">
        <f>SUM(J26:J26)</f>
        <v>0</v>
      </c>
    </row>
    <row r="28" spans="2:10" x14ac:dyDescent="0.25">
      <c r="B28" s="67"/>
      <c r="C28" s="48" t="s">
        <v>39</v>
      </c>
      <c r="D28" s="115" t="s">
        <v>32</v>
      </c>
      <c r="E28" s="132"/>
      <c r="F28" s="132"/>
      <c r="G28" s="132"/>
      <c r="H28" s="132"/>
      <c r="I28" s="131"/>
      <c r="J28" s="115"/>
    </row>
    <row r="29" spans="2:10" x14ac:dyDescent="0.25">
      <c r="B29" s="67"/>
      <c r="C29" s="41" t="s">
        <v>121</v>
      </c>
      <c r="D29" s="115"/>
      <c r="E29" s="132"/>
      <c r="F29" s="132"/>
      <c r="G29" s="132"/>
      <c r="H29" s="132"/>
      <c r="I29" s="131"/>
      <c r="J29" s="115"/>
    </row>
    <row r="30" spans="2:10" x14ac:dyDescent="0.25">
      <c r="B30" s="67"/>
      <c r="C30" s="41" t="s">
        <v>139</v>
      </c>
      <c r="D30" s="115"/>
      <c r="E30" s="132"/>
      <c r="F30" s="132"/>
      <c r="G30" s="132"/>
      <c r="H30" s="132"/>
      <c r="I30" s="131"/>
      <c r="J30" s="115"/>
    </row>
    <row r="31" spans="2:10" x14ac:dyDescent="0.25">
      <c r="B31" s="67"/>
      <c r="C31" s="41" t="s">
        <v>122</v>
      </c>
      <c r="D31" s="115"/>
      <c r="E31" s="132"/>
      <c r="F31" s="132"/>
      <c r="G31" s="132"/>
      <c r="H31" s="132"/>
      <c r="I31" s="131"/>
      <c r="J31" s="115"/>
    </row>
    <row r="32" spans="2:10" ht="30" x14ac:dyDescent="0.25">
      <c r="B32" s="67"/>
      <c r="C32" s="68" t="s">
        <v>58</v>
      </c>
      <c r="D32" s="42">
        <v>10000</v>
      </c>
      <c r="E32" s="42">
        <v>10000</v>
      </c>
      <c r="F32" s="42">
        <v>10000</v>
      </c>
      <c r="G32" s="115">
        <v>0</v>
      </c>
      <c r="H32" s="115">
        <v>0</v>
      </c>
      <c r="I32" s="131"/>
      <c r="J32" s="115">
        <f>SUM(D32:H32)</f>
        <v>30000</v>
      </c>
    </row>
    <row r="33" spans="2:11" ht="30" x14ac:dyDescent="0.25">
      <c r="B33" s="67"/>
      <c r="C33" s="68" t="s">
        <v>57</v>
      </c>
      <c r="D33" s="42">
        <v>10000</v>
      </c>
      <c r="E33" s="42">
        <v>10000</v>
      </c>
      <c r="F33" s="42">
        <v>10000</v>
      </c>
      <c r="G33" s="132">
        <v>0</v>
      </c>
      <c r="H33" s="132">
        <v>0</v>
      </c>
      <c r="I33" s="131"/>
      <c r="J33" s="115">
        <f t="shared" ref="J33:J48" si="12">SUM(D33:H33)</f>
        <v>30000</v>
      </c>
    </row>
    <row r="34" spans="2:11" x14ac:dyDescent="0.25">
      <c r="B34" s="67"/>
      <c r="C34" s="41" t="s">
        <v>63</v>
      </c>
      <c r="D34" s="42" t="s">
        <v>36</v>
      </c>
      <c r="E34" s="43"/>
      <c r="F34" s="43"/>
      <c r="G34" s="42"/>
      <c r="H34" s="42"/>
      <c r="J34" s="115"/>
      <c r="K34" s="161">
        <f>SUM(J32:J33)</f>
        <v>60000</v>
      </c>
    </row>
    <row r="35" spans="2:11" ht="30" x14ac:dyDescent="0.25">
      <c r="B35" s="67"/>
      <c r="C35" s="68" t="s">
        <v>61</v>
      </c>
      <c r="D35" s="42">
        <v>2250</v>
      </c>
      <c r="E35" s="42">
        <v>0</v>
      </c>
      <c r="F35" s="42">
        <v>0</v>
      </c>
      <c r="G35" s="42">
        <v>0</v>
      </c>
      <c r="H35" s="42">
        <v>0</v>
      </c>
      <c r="J35" s="115">
        <f t="shared" si="12"/>
        <v>2250</v>
      </c>
      <c r="K35" s="137"/>
    </row>
    <row r="36" spans="2:11" ht="30" x14ac:dyDescent="0.25">
      <c r="B36" s="67"/>
      <c r="C36" s="68" t="s">
        <v>62</v>
      </c>
      <c r="D36" s="42">
        <v>2250</v>
      </c>
      <c r="E36" s="42">
        <v>0</v>
      </c>
      <c r="F36" s="42">
        <v>0</v>
      </c>
      <c r="G36" s="42">
        <v>0</v>
      </c>
      <c r="H36" s="42">
        <v>0</v>
      </c>
      <c r="J36" s="115">
        <f t="shared" si="12"/>
        <v>2250</v>
      </c>
      <c r="K36" s="137"/>
    </row>
    <row r="37" spans="2:11" x14ac:dyDescent="0.25">
      <c r="B37" s="67"/>
      <c r="C37" s="68" t="s">
        <v>59</v>
      </c>
      <c r="D37" s="42">
        <v>4260</v>
      </c>
      <c r="E37" s="42">
        <v>0</v>
      </c>
      <c r="F37" s="42">
        <v>0</v>
      </c>
      <c r="G37" s="42">
        <v>0</v>
      </c>
      <c r="H37" s="42">
        <v>0</v>
      </c>
      <c r="J37" s="115">
        <f t="shared" si="12"/>
        <v>4260</v>
      </c>
      <c r="K37" s="161">
        <f>SUM(J35:J37)</f>
        <v>8760</v>
      </c>
    </row>
    <row r="38" spans="2:11" x14ac:dyDescent="0.25">
      <c r="B38" s="67"/>
      <c r="C38" s="41" t="s">
        <v>123</v>
      </c>
      <c r="D38" s="115"/>
      <c r="E38" s="132"/>
      <c r="F38" s="132"/>
      <c r="G38" s="132"/>
      <c r="H38" s="132"/>
      <c r="I38" s="131"/>
      <c r="J38" s="115"/>
      <c r="K38" s="137"/>
    </row>
    <row r="39" spans="2:11" x14ac:dyDescent="0.25">
      <c r="B39" s="67"/>
      <c r="C39" s="41" t="s">
        <v>125</v>
      </c>
      <c r="D39" s="42">
        <v>3800000</v>
      </c>
      <c r="E39" s="42">
        <v>0</v>
      </c>
      <c r="F39" s="42">
        <v>0</v>
      </c>
      <c r="G39" s="42">
        <v>0</v>
      </c>
      <c r="H39" s="42">
        <v>0</v>
      </c>
      <c r="I39" s="131"/>
      <c r="J39" s="115">
        <f t="shared" si="12"/>
        <v>3800000</v>
      </c>
      <c r="K39" s="161">
        <f>SUM(J39)</f>
        <v>3800000</v>
      </c>
    </row>
    <row r="40" spans="2:11" ht="60" x14ac:dyDescent="0.25">
      <c r="B40" s="67"/>
      <c r="C40" s="41" t="s">
        <v>60</v>
      </c>
      <c r="D40" s="42">
        <v>0</v>
      </c>
      <c r="E40" s="42">
        <v>100000</v>
      </c>
      <c r="F40" s="42">
        <v>0</v>
      </c>
      <c r="G40" s="42">
        <v>0</v>
      </c>
      <c r="H40" s="42">
        <v>0</v>
      </c>
      <c r="I40" s="131"/>
      <c r="J40" s="115">
        <f t="shared" si="12"/>
        <v>100000</v>
      </c>
      <c r="K40" s="161">
        <f>SUM(J40)</f>
        <v>100000</v>
      </c>
    </row>
    <row r="41" spans="2:11" x14ac:dyDescent="0.25">
      <c r="B41" s="67"/>
      <c r="C41" s="41" t="s">
        <v>124</v>
      </c>
      <c r="D41" s="42"/>
      <c r="E41" s="42"/>
      <c r="F41" s="42"/>
      <c r="G41" s="42"/>
      <c r="H41" s="43"/>
      <c r="J41" s="115"/>
      <c r="K41" s="137"/>
    </row>
    <row r="42" spans="2:11" x14ac:dyDescent="0.25">
      <c r="B42" s="67"/>
      <c r="C42" s="41" t="s">
        <v>126</v>
      </c>
      <c r="D42" s="42">
        <v>30000</v>
      </c>
      <c r="E42" s="42">
        <v>0</v>
      </c>
      <c r="F42" s="42">
        <v>0</v>
      </c>
      <c r="G42" s="42">
        <v>0</v>
      </c>
      <c r="H42" s="42">
        <v>0</v>
      </c>
      <c r="J42" s="115">
        <f t="shared" si="12"/>
        <v>30000</v>
      </c>
      <c r="K42" s="161">
        <f>50*600</f>
        <v>30000</v>
      </c>
    </row>
    <row r="43" spans="2:11" x14ac:dyDescent="0.25">
      <c r="B43" s="67"/>
      <c r="C43" s="158" t="s">
        <v>144</v>
      </c>
      <c r="D43" s="115">
        <f>SUM(D32:D42)</f>
        <v>3858760</v>
      </c>
      <c r="E43" s="115">
        <f t="shared" ref="E43:H43" si="13">SUM(E32:E42)</f>
        <v>120000</v>
      </c>
      <c r="F43" s="115">
        <f t="shared" si="13"/>
        <v>20000</v>
      </c>
      <c r="G43" s="115">
        <f t="shared" si="13"/>
        <v>0</v>
      </c>
      <c r="H43" s="115">
        <f t="shared" si="13"/>
        <v>0</v>
      </c>
      <c r="I43" s="131"/>
      <c r="J43" s="115">
        <f t="shared" si="12"/>
        <v>3998760</v>
      </c>
      <c r="K43" s="161">
        <f>SUM(K34:K42)</f>
        <v>3998760</v>
      </c>
    </row>
    <row r="44" spans="2:11" x14ac:dyDescent="0.25">
      <c r="B44" s="67"/>
      <c r="C44" s="41" t="s">
        <v>133</v>
      </c>
      <c r="D44" s="115"/>
      <c r="E44" s="132"/>
      <c r="F44" s="132"/>
      <c r="G44" s="132"/>
      <c r="H44" s="132"/>
      <c r="I44" s="131"/>
      <c r="J44" s="115"/>
    </row>
    <row r="45" spans="2:11" x14ac:dyDescent="0.25">
      <c r="B45" s="67"/>
      <c r="C45" s="41" t="s">
        <v>145</v>
      </c>
      <c r="D45" s="115"/>
      <c r="E45" s="132"/>
      <c r="F45" s="132"/>
      <c r="G45" s="132"/>
      <c r="H45" s="132"/>
      <c r="I45" s="131"/>
      <c r="J45" s="115"/>
    </row>
    <row r="46" spans="2:11" x14ac:dyDescent="0.25">
      <c r="B46" s="67"/>
      <c r="C46" s="41" t="s">
        <v>123</v>
      </c>
      <c r="D46" s="49"/>
      <c r="E46" s="43"/>
      <c r="F46" s="43"/>
      <c r="G46" s="43"/>
      <c r="H46" s="43"/>
      <c r="J46" s="115"/>
    </row>
    <row r="47" spans="2:11" ht="75" x14ac:dyDescent="0.25">
      <c r="B47" s="67"/>
      <c r="C47" s="68" t="s">
        <v>134</v>
      </c>
      <c r="D47" s="115">
        <v>10963527</v>
      </c>
      <c r="E47" s="115">
        <v>25806456</v>
      </c>
      <c r="F47" s="115">
        <v>15793551</v>
      </c>
      <c r="G47" s="115">
        <v>25059101</v>
      </c>
      <c r="H47" s="115">
        <v>5530901</v>
      </c>
      <c r="J47" s="115">
        <f t="shared" si="12"/>
        <v>83153536</v>
      </c>
      <c r="K47" s="161"/>
    </row>
    <row r="48" spans="2:11" ht="75" x14ac:dyDescent="0.25">
      <c r="B48" s="67"/>
      <c r="C48" s="68" t="s">
        <v>71</v>
      </c>
      <c r="D48" s="115">
        <v>251982</v>
      </c>
      <c r="E48" s="115">
        <v>385532</v>
      </c>
      <c r="F48" s="115">
        <v>393243</v>
      </c>
      <c r="G48" s="115">
        <v>401108</v>
      </c>
      <c r="H48" s="115">
        <v>275428</v>
      </c>
      <c r="J48" s="115">
        <f t="shared" si="12"/>
        <v>1707293</v>
      </c>
      <c r="K48" s="161"/>
    </row>
    <row r="49" spans="2:12" x14ac:dyDescent="0.25">
      <c r="B49" s="67"/>
      <c r="C49" s="159" t="s">
        <v>143</v>
      </c>
      <c r="D49" s="115">
        <f>SUM(D47:D48)</f>
        <v>11215509</v>
      </c>
      <c r="E49" s="115">
        <f t="shared" ref="E49:H49" si="14">SUM(E47:E48)</f>
        <v>26191988</v>
      </c>
      <c r="F49" s="115">
        <f t="shared" si="14"/>
        <v>16186794</v>
      </c>
      <c r="G49" s="115">
        <f t="shared" si="14"/>
        <v>25460209</v>
      </c>
      <c r="H49" s="115">
        <f t="shared" si="14"/>
        <v>5806329</v>
      </c>
      <c r="I49" s="131"/>
      <c r="J49" s="115">
        <f>SUM(D49:H49)</f>
        <v>84860829</v>
      </c>
      <c r="K49" s="161">
        <f>SUM(J47:J48)</f>
        <v>84860829</v>
      </c>
    </row>
    <row r="50" spans="2:12" x14ac:dyDescent="0.25">
      <c r="B50" s="67"/>
      <c r="C50" s="165" t="s">
        <v>140</v>
      </c>
      <c r="D50" s="115"/>
      <c r="E50" s="132"/>
      <c r="F50" s="132"/>
      <c r="G50" s="132"/>
      <c r="H50" s="132"/>
      <c r="I50" s="131"/>
      <c r="J50" s="115"/>
      <c r="K50" s="161"/>
    </row>
    <row r="51" spans="2:12" x14ac:dyDescent="0.25">
      <c r="B51" s="13"/>
      <c r="C51" s="41" t="s">
        <v>160</v>
      </c>
      <c r="D51" s="115"/>
      <c r="E51" s="132"/>
      <c r="F51" s="132"/>
      <c r="G51" s="132"/>
      <c r="H51" s="132"/>
      <c r="I51" s="131"/>
      <c r="J51" s="115"/>
      <c r="K51" s="161"/>
      <c r="L51" s="131"/>
    </row>
    <row r="52" spans="2:12" x14ac:dyDescent="0.25">
      <c r="B52" s="13"/>
      <c r="C52" s="41" t="s">
        <v>122</v>
      </c>
      <c r="D52" s="129"/>
      <c r="E52" s="130"/>
      <c r="F52" s="115"/>
      <c r="G52" s="115"/>
      <c r="H52" s="115"/>
      <c r="I52" s="131"/>
      <c r="J52" s="115"/>
      <c r="K52" s="161"/>
    </row>
    <row r="53" spans="2:12" ht="30" x14ac:dyDescent="0.25">
      <c r="B53" s="13"/>
      <c r="C53" s="68" t="s">
        <v>115</v>
      </c>
      <c r="D53" s="115">
        <v>49279</v>
      </c>
      <c r="E53" s="115">
        <v>49279</v>
      </c>
      <c r="F53" s="115">
        <v>0</v>
      </c>
      <c r="G53" s="115">
        <v>0</v>
      </c>
      <c r="H53" s="115">
        <v>0</v>
      </c>
      <c r="I53" s="131">
        <v>781250</v>
      </c>
      <c r="J53" s="115">
        <f>SUM(D53:H53)</f>
        <v>98558</v>
      </c>
      <c r="K53" s="161"/>
    </row>
    <row r="54" spans="2:12" ht="47.25" customHeight="1" x14ac:dyDescent="0.25">
      <c r="B54" s="13"/>
      <c r="C54" s="68" t="s">
        <v>116</v>
      </c>
      <c r="D54" s="115">
        <v>24639</v>
      </c>
      <c r="E54" s="115">
        <v>24639</v>
      </c>
      <c r="F54" s="115">
        <v>0</v>
      </c>
      <c r="G54" s="115">
        <v>0</v>
      </c>
      <c r="H54" s="115">
        <v>0</v>
      </c>
      <c r="I54" s="131">
        <v>2083335</v>
      </c>
      <c r="J54" s="115">
        <f t="shared" ref="J54:J58" si="15">SUM(D54:H54)</f>
        <v>49278</v>
      </c>
      <c r="K54" s="161"/>
    </row>
    <row r="55" spans="2:12" ht="45" x14ac:dyDescent="0.25">
      <c r="B55" s="13"/>
      <c r="C55" s="116" t="s">
        <v>64</v>
      </c>
      <c r="D55" s="115">
        <v>500000</v>
      </c>
      <c r="E55" s="115">
        <v>500000</v>
      </c>
      <c r="F55" s="115">
        <v>0</v>
      </c>
      <c r="G55" s="115">
        <v>0</v>
      </c>
      <c r="H55" s="115">
        <v>0</v>
      </c>
      <c r="I55" s="131"/>
      <c r="J55" s="115">
        <f t="shared" si="15"/>
        <v>1000000</v>
      </c>
      <c r="K55" s="161"/>
    </row>
    <row r="56" spans="2:12" ht="60" x14ac:dyDescent="0.25">
      <c r="B56" s="13"/>
      <c r="C56" s="41" t="s">
        <v>48</v>
      </c>
      <c r="D56" s="115">
        <v>41082</v>
      </c>
      <c r="E56" s="115">
        <v>41082</v>
      </c>
      <c r="F56" s="115">
        <v>0</v>
      </c>
      <c r="G56" s="115">
        <v>0</v>
      </c>
      <c r="H56" s="115">
        <v>0</v>
      </c>
      <c r="I56" s="131"/>
      <c r="J56" s="115">
        <f t="shared" si="15"/>
        <v>82164</v>
      </c>
      <c r="K56" s="161"/>
    </row>
    <row r="57" spans="2:12" x14ac:dyDescent="0.25">
      <c r="B57" s="13"/>
      <c r="C57" s="41" t="s">
        <v>141</v>
      </c>
      <c r="D57" s="115"/>
      <c r="E57" s="115"/>
      <c r="F57" s="115"/>
      <c r="G57" s="115"/>
      <c r="H57" s="115"/>
      <c r="I57" s="131"/>
      <c r="J57" s="115"/>
      <c r="K57" s="161"/>
    </row>
    <row r="58" spans="2:12" s="71" customFormat="1" ht="30" x14ac:dyDescent="0.25">
      <c r="B58" s="13"/>
      <c r="C58" s="68" t="s">
        <v>56</v>
      </c>
      <c r="D58" s="115">
        <v>9885000</v>
      </c>
      <c r="E58" s="115">
        <v>9885000</v>
      </c>
      <c r="F58" s="115">
        <v>0</v>
      </c>
      <c r="G58" s="115">
        <v>0</v>
      </c>
      <c r="H58" s="115">
        <v>0</v>
      </c>
      <c r="I58" s="131"/>
      <c r="J58" s="115">
        <f t="shared" si="15"/>
        <v>19770000</v>
      </c>
    </row>
    <row r="59" spans="2:12" x14ac:dyDescent="0.25">
      <c r="B59" s="13"/>
      <c r="C59" s="159" t="s">
        <v>142</v>
      </c>
      <c r="D59" s="115">
        <f>SUM(D53:D58)</f>
        <v>10500000</v>
      </c>
      <c r="E59" s="115">
        <f t="shared" ref="E59:H59" si="16">SUM(E53:E58)</f>
        <v>10500000</v>
      </c>
      <c r="F59" s="115">
        <f t="shared" si="16"/>
        <v>0</v>
      </c>
      <c r="G59" s="115">
        <f t="shared" si="16"/>
        <v>0</v>
      </c>
      <c r="H59" s="115">
        <f t="shared" si="16"/>
        <v>0</v>
      </c>
      <c r="I59" s="131"/>
      <c r="J59" s="115">
        <f>SUM(D59:H59)</f>
        <v>21000000</v>
      </c>
      <c r="K59" s="161">
        <f>SUM(J53:J58)</f>
        <v>21000000</v>
      </c>
    </row>
    <row r="60" spans="2:12" x14ac:dyDescent="0.25">
      <c r="B60" s="13"/>
      <c r="C60" s="163" t="s">
        <v>18</v>
      </c>
      <c r="D60" s="164">
        <f>D43+D49+D59</f>
        <v>25574269</v>
      </c>
      <c r="E60" s="164">
        <f>SUM(E43,E49,E59)</f>
        <v>36811988</v>
      </c>
      <c r="F60" s="164">
        <f>SUM(F43,F49,F59)</f>
        <v>16206794</v>
      </c>
      <c r="G60" s="164">
        <f>SUM(G43,G49,G59)</f>
        <v>25460209</v>
      </c>
      <c r="H60" s="164">
        <f>SUM(H43,H49,H59)</f>
        <v>5806329</v>
      </c>
      <c r="I60" s="131"/>
      <c r="J60" s="164">
        <f>SUM(D60:H60)</f>
        <v>109859589</v>
      </c>
      <c r="K60" s="161"/>
    </row>
    <row r="61" spans="2:12" x14ac:dyDescent="0.25">
      <c r="B61" s="14"/>
      <c r="C61" s="45" t="s">
        <v>19</v>
      </c>
      <c r="D61" s="133">
        <f>D60+D12+D15+D18+D21+D24+D27</f>
        <v>25615969</v>
      </c>
      <c r="E61" s="133">
        <f t="shared" ref="E61:H61" si="17">E60+E12+E15+E18+E21+E24+E27</f>
        <v>36854852</v>
      </c>
      <c r="F61" s="133">
        <f t="shared" si="17"/>
        <v>16242857</v>
      </c>
      <c r="G61" s="133">
        <f t="shared" si="17"/>
        <v>25491739</v>
      </c>
      <c r="H61" s="133">
        <f t="shared" si="17"/>
        <v>5834370</v>
      </c>
      <c r="I61" s="131"/>
      <c r="J61" s="133">
        <f>SUM(D61:H61)</f>
        <v>110039787</v>
      </c>
      <c r="K61" s="161"/>
    </row>
    <row r="62" spans="2:12" x14ac:dyDescent="0.25">
      <c r="B62" s="54"/>
      <c r="D62" s="131"/>
      <c r="E62" s="131"/>
      <c r="F62" s="131"/>
      <c r="G62" s="131"/>
      <c r="H62" s="131"/>
      <c r="I62" s="131"/>
      <c r="J62" s="131" t="s">
        <v>20</v>
      </c>
    </row>
    <row r="63" spans="2:12" x14ac:dyDescent="0.25">
      <c r="B63" s="162" t="s">
        <v>40</v>
      </c>
      <c r="C63" s="70" t="s">
        <v>40</v>
      </c>
      <c r="D63" s="134"/>
      <c r="E63" s="134"/>
      <c r="F63" s="134"/>
      <c r="G63" s="134"/>
      <c r="H63" s="134"/>
      <c r="I63" s="131"/>
      <c r="J63" s="134" t="s">
        <v>20</v>
      </c>
    </row>
    <row r="64" spans="2:12" ht="30" x14ac:dyDescent="0.25">
      <c r="B64" s="206"/>
      <c r="C64" s="128" t="s">
        <v>128</v>
      </c>
      <c r="D64" s="115">
        <f>'Project 1 VDOT'!D46+'Project 2 DRPT'!D37+'Project 3 VA Energy'!D40</f>
        <v>10209</v>
      </c>
      <c r="E64" s="115">
        <f>'Project 1 VDOT'!E46+'Project 2 DRPT'!E37+'Project 3 VA Energy'!E40</f>
        <v>10512</v>
      </c>
      <c r="F64" s="115">
        <f>'Project 1 VDOT'!F46+'Project 2 DRPT'!F37+'Project 3 VA Energy'!F40</f>
        <v>8730</v>
      </c>
      <c r="G64" s="115">
        <f>'Project 1 VDOT'!G46+'Project 2 DRPT'!G37+'Project 3 VA Energy'!G40</f>
        <v>7545</v>
      </c>
      <c r="H64" s="115">
        <f>'Project 1 VDOT'!H46+'Project 2 DRPT'!H37+'Project 3 VA Energy'!H40</f>
        <v>6630</v>
      </c>
      <c r="I64" s="131"/>
      <c r="J64" s="115">
        <f>SUM(D64:H64)</f>
        <v>43626</v>
      </c>
    </row>
    <row r="65" spans="2:12" x14ac:dyDescent="0.25">
      <c r="B65" s="206"/>
      <c r="C65" s="45" t="s">
        <v>21</v>
      </c>
      <c r="D65" s="133">
        <f>SUM(D64:D64)</f>
        <v>10209</v>
      </c>
      <c r="E65" s="133">
        <f>SUM(E64:E64)</f>
        <v>10512</v>
      </c>
      <c r="F65" s="133">
        <f>SUM(F64:F64)</f>
        <v>8730</v>
      </c>
      <c r="G65" s="133">
        <f>SUM(G64:G64)</f>
        <v>7545</v>
      </c>
      <c r="H65" s="133">
        <f>SUM(H64:H64)</f>
        <v>6630</v>
      </c>
      <c r="I65" s="131"/>
      <c r="J65" s="133">
        <f>SUM(J64:J64)</f>
        <v>43626</v>
      </c>
    </row>
    <row r="66" spans="2:12" ht="15.75" thickBot="1" x14ac:dyDescent="0.3">
      <c r="B66" s="54"/>
      <c r="D66" s="131"/>
      <c r="E66" s="131"/>
      <c r="F66" s="131"/>
      <c r="G66" s="131"/>
      <c r="H66" s="131"/>
      <c r="I66" s="131"/>
      <c r="J66" s="131" t="s">
        <v>20</v>
      </c>
    </row>
    <row r="67" spans="2:12" ht="30.75" thickBot="1" x14ac:dyDescent="0.3">
      <c r="B67" s="10" t="s">
        <v>22</v>
      </c>
      <c r="C67" s="51"/>
      <c r="D67" s="136">
        <f>SUM(D61,D65)</f>
        <v>25626178</v>
      </c>
      <c r="E67" s="136">
        <f t="shared" ref="E67:H67" si="18">SUM(E61,E65)</f>
        <v>36865364</v>
      </c>
      <c r="F67" s="136">
        <f t="shared" si="18"/>
        <v>16251587</v>
      </c>
      <c r="G67" s="136">
        <f t="shared" si="18"/>
        <v>25499284</v>
      </c>
      <c r="H67" s="136">
        <f t="shared" si="18"/>
        <v>5841000</v>
      </c>
      <c r="I67" s="131"/>
      <c r="J67" s="136">
        <f>SUM(D67:H67)</f>
        <v>110083413</v>
      </c>
      <c r="L67" s="161">
        <f>SUM(J12,J15,J18,J21,J24,J27,J60,J65)</f>
        <v>110083413</v>
      </c>
    </row>
    <row r="68" spans="2:12" x14ac:dyDescent="0.25">
      <c r="L68" s="137"/>
    </row>
    <row r="69" spans="2:12" x14ac:dyDescent="0.25">
      <c r="L69" s="161">
        <f>J67+'Measure 2 Budget'!J58</f>
        <v>199999999</v>
      </c>
    </row>
    <row r="70" spans="2:12" x14ac:dyDescent="0.25">
      <c r="L70" s="137"/>
    </row>
    <row r="71" spans="2:12" x14ac:dyDescent="0.25">
      <c r="D71" s="75"/>
      <c r="J71" s="131"/>
      <c r="L71" s="137"/>
    </row>
    <row r="72" spans="2:12" x14ac:dyDescent="0.25">
      <c r="L72" s="161">
        <f>199999999-L69</f>
        <v>0</v>
      </c>
    </row>
  </sheetData>
  <mergeCells count="1">
    <mergeCell ref="B64:B65"/>
  </mergeCells>
  <pageMargins left="0.7" right="0.7" top="0.75" bottom="0.75" header="0.3" footer="0.3"/>
  <pageSetup scale="97" fitToHeight="0" orientation="landscape" r:id="rId1"/>
  <ignoredErrors>
    <ignoredError sqref="J53:J5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62"/>
  <sheetViews>
    <sheetView showGridLines="0" zoomScale="85" zoomScaleNormal="85" workbookViewId="0">
      <pane xSplit="3" ySplit="6" topLeftCell="D17" activePane="bottomRight" state="frozen"/>
      <selection pane="topRight" activeCell="R20" sqref="R20:W20"/>
      <selection pane="bottomLeft" activeCell="R20" sqref="R20:W20"/>
      <selection pane="bottomRight" activeCell="E17" sqref="E17"/>
    </sheetView>
  </sheetViews>
  <sheetFormatPr defaultColWidth="9.140625" defaultRowHeight="15" x14ac:dyDescent="0.25"/>
  <cols>
    <col min="1" max="1" width="3.140625" customWidth="1"/>
    <col min="2" max="2" width="13" customWidth="1"/>
    <col min="3" max="3" width="61.5703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1.28515625" style="137" hidden="1" customWidth="1"/>
    <col min="12" max="12" width="11.28515625" style="198" bestFit="1" customWidth="1"/>
    <col min="13" max="13" width="9.140625" style="198"/>
    <col min="14" max="14" width="12" bestFit="1" customWidth="1"/>
  </cols>
  <sheetData>
    <row r="2" spans="2:39" ht="23.25" x14ac:dyDescent="0.35">
      <c r="B2" s="15" t="s">
        <v>29</v>
      </c>
    </row>
    <row r="3" spans="2:39" x14ac:dyDescent="0.25">
      <c r="B3" s="5" t="s">
        <v>30</v>
      </c>
    </row>
    <row r="4" spans="2:39" x14ac:dyDescent="0.25">
      <c r="B4" s="5"/>
    </row>
    <row r="5" spans="2:39" ht="18.75" x14ac:dyDescent="0.3">
      <c r="B5" s="20" t="s">
        <v>2</v>
      </c>
      <c r="C5" s="21"/>
      <c r="D5" s="21"/>
      <c r="E5" s="21"/>
      <c r="F5" s="21"/>
      <c r="G5" s="21"/>
      <c r="H5" s="21"/>
      <c r="I5" s="21"/>
      <c r="J5" s="22"/>
    </row>
    <row r="6" spans="2:39" x14ac:dyDescent="0.25">
      <c r="B6" s="23" t="s">
        <v>3</v>
      </c>
      <c r="C6" s="23" t="s">
        <v>4</v>
      </c>
      <c r="D6" s="23" t="s">
        <v>5</v>
      </c>
      <c r="E6" s="24" t="s">
        <v>6</v>
      </c>
      <c r="F6" s="24" t="s">
        <v>7</v>
      </c>
      <c r="G6" s="24" t="s">
        <v>8</v>
      </c>
      <c r="H6" s="25" t="s">
        <v>9</v>
      </c>
      <c r="I6" s="26"/>
      <c r="J6" s="27" t="s">
        <v>10</v>
      </c>
    </row>
    <row r="7" spans="2:39" s="5" customFormat="1" x14ac:dyDescent="0.25">
      <c r="B7" s="12" t="s">
        <v>11</v>
      </c>
      <c r="C7" s="65" t="s">
        <v>31</v>
      </c>
      <c r="D7" s="43" t="s">
        <v>32</v>
      </c>
      <c r="E7" s="43" t="s">
        <v>32</v>
      </c>
      <c r="F7" s="43" t="s">
        <v>32</v>
      </c>
      <c r="G7" s="43"/>
      <c r="H7" s="43" t="s">
        <v>32</v>
      </c>
      <c r="I7" s="44"/>
      <c r="J7" s="66"/>
      <c r="K7" s="137"/>
      <c r="L7" s="198"/>
      <c r="M7" s="198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3"/>
      <c r="C8" s="41" t="s">
        <v>129</v>
      </c>
      <c r="D8" s="115">
        <f>'Project 4 VPA'!D8</f>
        <v>8931</v>
      </c>
      <c r="E8" s="115">
        <f>'Project 4 VPA'!E8</f>
        <v>9198</v>
      </c>
      <c r="F8" s="115">
        <f>'Project 4 VPA'!F8</f>
        <v>7359</v>
      </c>
      <c r="G8" s="115">
        <f>'Project 4 VPA'!G8</f>
        <v>6132</v>
      </c>
      <c r="H8" s="115">
        <f>'Project 4 VPA'!H8</f>
        <v>6132</v>
      </c>
      <c r="I8" s="131">
        <v>450000</v>
      </c>
      <c r="J8" s="115">
        <f t="shared" ref="J8:J11" si="0">SUM(D8:H8)</f>
        <v>37752</v>
      </c>
    </row>
    <row r="9" spans="2:39" x14ac:dyDescent="0.25">
      <c r="B9" s="13"/>
      <c r="C9" s="41" t="s">
        <v>130</v>
      </c>
      <c r="D9" s="115">
        <f>'Project 4 VPA'!D9</f>
        <v>8253</v>
      </c>
      <c r="E9" s="115">
        <f>'Project 4 VPA'!E9</f>
        <v>8499</v>
      </c>
      <c r="F9" s="115">
        <f>'Project 4 VPA'!F9</f>
        <v>6801</v>
      </c>
      <c r="G9" s="115">
        <f>'Project 4 VPA'!G9</f>
        <v>5667</v>
      </c>
      <c r="H9" s="115">
        <f>'Project 4 VPA'!H9</f>
        <v>5667</v>
      </c>
      <c r="I9" s="131"/>
      <c r="J9" s="115">
        <f t="shared" si="0"/>
        <v>34887</v>
      </c>
    </row>
    <row r="10" spans="2:39" x14ac:dyDescent="0.25">
      <c r="B10" s="13"/>
      <c r="C10" s="41" t="s">
        <v>131</v>
      </c>
      <c r="D10" s="115">
        <f>'Project 4 VPA'!D10</f>
        <v>5280</v>
      </c>
      <c r="E10" s="115">
        <f>'Project 4 VPA'!E10</f>
        <v>5439</v>
      </c>
      <c r="F10" s="115">
        <f>'Project 4 VPA'!F10</f>
        <v>4350</v>
      </c>
      <c r="G10" s="115">
        <f>'Project 4 VPA'!G10</f>
        <v>3627</v>
      </c>
      <c r="H10" s="115">
        <f>'Project 4 VPA'!H10</f>
        <v>2922</v>
      </c>
      <c r="I10" s="131"/>
      <c r="J10" s="115">
        <f t="shared" si="0"/>
        <v>21618</v>
      </c>
    </row>
    <row r="11" spans="2:39" x14ac:dyDescent="0.25">
      <c r="B11" s="13"/>
      <c r="C11" s="41" t="s">
        <v>132</v>
      </c>
      <c r="D11" s="115">
        <f>'Project 4 VPA'!D11</f>
        <v>4050</v>
      </c>
      <c r="E11" s="115">
        <f>'Project 4 VPA'!E11</f>
        <v>4170</v>
      </c>
      <c r="F11" s="115">
        <f>'Project 4 VPA'!F11</f>
        <v>4170</v>
      </c>
      <c r="G11" s="115">
        <f>'Project 4 VPA'!G11</f>
        <v>4170</v>
      </c>
      <c r="H11" s="115">
        <f>'Project 4 VPA'!H11</f>
        <v>2502</v>
      </c>
      <c r="I11" s="131"/>
      <c r="J11" s="115">
        <f t="shared" si="0"/>
        <v>19062</v>
      </c>
    </row>
    <row r="12" spans="2:39" x14ac:dyDescent="0.25">
      <c r="B12" s="13"/>
      <c r="C12" s="45" t="s">
        <v>12</v>
      </c>
      <c r="D12" s="133">
        <f>SUM(D8:D11)</f>
        <v>26514</v>
      </c>
      <c r="E12" s="133">
        <f t="shared" ref="E12:J12" si="1">SUM(E8:E11)</f>
        <v>27306</v>
      </c>
      <c r="F12" s="133">
        <f t="shared" si="1"/>
        <v>22680</v>
      </c>
      <c r="G12" s="133">
        <f t="shared" si="1"/>
        <v>19596</v>
      </c>
      <c r="H12" s="133">
        <f t="shared" si="1"/>
        <v>17223</v>
      </c>
      <c r="I12" s="131">
        <f t="shared" si="1"/>
        <v>450000</v>
      </c>
      <c r="J12" s="133">
        <f t="shared" si="1"/>
        <v>113319</v>
      </c>
    </row>
    <row r="13" spans="2:39" x14ac:dyDescent="0.25">
      <c r="B13" s="13"/>
      <c r="C13" s="48" t="s">
        <v>33</v>
      </c>
      <c r="D13" s="115" t="s">
        <v>32</v>
      </c>
      <c r="E13" s="132"/>
      <c r="F13" s="132"/>
      <c r="G13" s="132"/>
      <c r="H13" s="132"/>
      <c r="I13" s="131"/>
      <c r="J13" s="134"/>
    </row>
    <row r="14" spans="2:39" x14ac:dyDescent="0.25">
      <c r="B14" s="13"/>
      <c r="C14" s="126" t="s">
        <v>127</v>
      </c>
      <c r="D14" s="115">
        <f>'Project 4 VPA'!D14</f>
        <v>12462</v>
      </c>
      <c r="E14" s="115">
        <f>'Project 4 VPA'!E14</f>
        <v>12834</v>
      </c>
      <c r="F14" s="115">
        <f>'Project 4 VPA'!F14</f>
        <v>10659</v>
      </c>
      <c r="G14" s="115">
        <f>'Project 4 VPA'!G14</f>
        <v>9210</v>
      </c>
      <c r="H14" s="115">
        <f>'Project 4 VPA'!H14</f>
        <v>8094</v>
      </c>
      <c r="I14" s="131"/>
      <c r="J14" s="115">
        <f>SUM(D14:H14)</f>
        <v>53259</v>
      </c>
    </row>
    <row r="15" spans="2:39" x14ac:dyDescent="0.25">
      <c r="B15" s="13"/>
      <c r="C15" s="45" t="s">
        <v>13</v>
      </c>
      <c r="D15" s="133">
        <f t="shared" ref="D15:J15" si="2">SUM(D14:D14)</f>
        <v>12462</v>
      </c>
      <c r="E15" s="133">
        <f t="shared" si="2"/>
        <v>12834</v>
      </c>
      <c r="F15" s="133">
        <f t="shared" si="2"/>
        <v>10659</v>
      </c>
      <c r="G15" s="133">
        <f t="shared" si="2"/>
        <v>9210</v>
      </c>
      <c r="H15" s="133">
        <f t="shared" si="2"/>
        <v>8094</v>
      </c>
      <c r="I15" s="131">
        <f t="shared" si="2"/>
        <v>0</v>
      </c>
      <c r="J15" s="133">
        <f t="shared" si="2"/>
        <v>53259</v>
      </c>
    </row>
    <row r="16" spans="2:39" x14ac:dyDescent="0.25">
      <c r="B16" s="13"/>
      <c r="C16" s="48" t="s">
        <v>34</v>
      </c>
      <c r="D16" s="49" t="s">
        <v>32</v>
      </c>
      <c r="E16" s="43"/>
      <c r="F16" s="43"/>
      <c r="G16" s="43"/>
      <c r="H16" s="43"/>
      <c r="I16" s="44"/>
      <c r="J16" s="66"/>
    </row>
    <row r="17" spans="2:10" ht="105" x14ac:dyDescent="0.25">
      <c r="B17" s="13"/>
      <c r="C17" s="41" t="s">
        <v>164</v>
      </c>
      <c r="D17" s="115">
        <f>'Project 4 VPA'!D17</f>
        <v>1276</v>
      </c>
      <c r="E17" s="115">
        <f>'Project 4 VPA'!E17</f>
        <v>1276</v>
      </c>
      <c r="F17" s="115">
        <f>'Project 4 VPA'!F17</f>
        <v>1276</v>
      </c>
      <c r="G17" s="115">
        <f>'Project 4 VPA'!G17</f>
        <v>1276</v>
      </c>
      <c r="H17" s="115">
        <f>'Project 4 VPA'!H17</f>
        <v>1276</v>
      </c>
      <c r="I17" s="131"/>
      <c r="J17" s="115">
        <f>SUM(D17:H17)</f>
        <v>6380</v>
      </c>
    </row>
    <row r="18" spans="2:10" x14ac:dyDescent="0.25">
      <c r="B18" s="13"/>
      <c r="C18" s="45" t="s">
        <v>14</v>
      </c>
      <c r="D18" s="133">
        <f>SUM(D17)</f>
        <v>1276</v>
      </c>
      <c r="E18" s="133">
        <f t="shared" ref="E18:H18" si="3">SUM(E17)</f>
        <v>1276</v>
      </c>
      <c r="F18" s="133">
        <f t="shared" si="3"/>
        <v>1276</v>
      </c>
      <c r="G18" s="133">
        <f t="shared" si="3"/>
        <v>1276</v>
      </c>
      <c r="H18" s="133">
        <f t="shared" si="3"/>
        <v>1276</v>
      </c>
      <c r="I18" s="131"/>
      <c r="J18" s="133">
        <f>SUM(J17:J17)</f>
        <v>6380</v>
      </c>
    </row>
    <row r="19" spans="2:10" x14ac:dyDescent="0.25">
      <c r="B19" s="13"/>
      <c r="C19" s="149" t="s">
        <v>35</v>
      </c>
      <c r="D19" s="157"/>
      <c r="E19" s="153"/>
      <c r="F19" s="153"/>
      <c r="G19" s="153"/>
      <c r="H19" s="153"/>
      <c r="I19" s="131"/>
      <c r="J19" s="157" t="s">
        <v>20</v>
      </c>
    </row>
    <row r="20" spans="2:10" x14ac:dyDescent="0.25">
      <c r="B20" s="13" t="s">
        <v>36</v>
      </c>
      <c r="C20" s="66"/>
      <c r="D20" s="155">
        <f>'Project 4 VPA'!D19</f>
        <v>0</v>
      </c>
      <c r="E20" s="155">
        <f>'Project 4 VPA'!E19</f>
        <v>0</v>
      </c>
      <c r="F20" s="155">
        <f>'Project 4 VPA'!F19</f>
        <v>0</v>
      </c>
      <c r="G20" s="155">
        <f>'Project 4 VPA'!G19</f>
        <v>0</v>
      </c>
      <c r="H20" s="155">
        <f>'Project 4 VPA'!H19</f>
        <v>0</v>
      </c>
      <c r="I20" s="131"/>
      <c r="J20" s="134">
        <f>SUM(D20:I20)</f>
        <v>0</v>
      </c>
    </row>
    <row r="21" spans="2:10" x14ac:dyDescent="0.25">
      <c r="B21" s="13"/>
      <c r="C21" s="150" t="s">
        <v>15</v>
      </c>
      <c r="D21" s="164">
        <f>SUM(D20)</f>
        <v>0</v>
      </c>
      <c r="E21" s="164">
        <f t="shared" ref="E21:H21" si="4">SUM(E20)</f>
        <v>0</v>
      </c>
      <c r="F21" s="164">
        <f t="shared" si="4"/>
        <v>0</v>
      </c>
      <c r="G21" s="164">
        <f t="shared" si="4"/>
        <v>0</v>
      </c>
      <c r="H21" s="164">
        <f t="shared" si="4"/>
        <v>0</v>
      </c>
      <c r="I21" s="131"/>
      <c r="J21" s="156">
        <f ca="1">SUM(J20:J48)</f>
        <v>0</v>
      </c>
    </row>
    <row r="22" spans="2:10" x14ac:dyDescent="0.25">
      <c r="B22" s="13"/>
      <c r="C22" s="48" t="s">
        <v>37</v>
      </c>
      <c r="D22" s="115" t="s">
        <v>32</v>
      </c>
      <c r="E22" s="132"/>
      <c r="F22" s="132"/>
      <c r="G22" s="132"/>
      <c r="H22" s="132"/>
      <c r="I22" s="131"/>
      <c r="J22" s="115"/>
    </row>
    <row r="23" spans="2:10" x14ac:dyDescent="0.25">
      <c r="B23" s="13"/>
      <c r="C23" s="41"/>
      <c r="D23" s="155">
        <f>'Project 4 VPA'!D23</f>
        <v>0</v>
      </c>
      <c r="E23" s="155">
        <f>'Project 4 VPA'!E23</f>
        <v>0</v>
      </c>
      <c r="F23" s="155">
        <f>'Project 4 VPA'!F23</f>
        <v>0</v>
      </c>
      <c r="G23" s="155">
        <f>'Project 4 VPA'!G23</f>
        <v>0</v>
      </c>
      <c r="H23" s="155">
        <f>'Project 4 VPA'!H23</f>
        <v>0</v>
      </c>
      <c r="I23" s="131"/>
      <c r="J23" s="134">
        <f>SUM(D23:I23)</f>
        <v>0</v>
      </c>
    </row>
    <row r="24" spans="2:10" x14ac:dyDescent="0.25">
      <c r="B24" s="13"/>
      <c r="C24" s="45" t="s">
        <v>16</v>
      </c>
      <c r="D24" s="164">
        <f>SUM(D23)</f>
        <v>0</v>
      </c>
      <c r="E24" s="164">
        <f t="shared" ref="E24:H24" si="5">SUM(E23)</f>
        <v>0</v>
      </c>
      <c r="F24" s="164">
        <f t="shared" si="5"/>
        <v>0</v>
      </c>
      <c r="G24" s="164">
        <f t="shared" si="5"/>
        <v>0</v>
      </c>
      <c r="H24" s="164">
        <f t="shared" si="5"/>
        <v>0</v>
      </c>
      <c r="I24" s="131"/>
      <c r="J24" s="133">
        <f>SUM(J23:J23)</f>
        <v>0</v>
      </c>
    </row>
    <row r="25" spans="2:10" x14ac:dyDescent="0.25">
      <c r="B25" s="13"/>
      <c r="C25" s="48" t="s">
        <v>38</v>
      </c>
      <c r="D25" s="115" t="s">
        <v>32</v>
      </c>
      <c r="E25" s="132"/>
      <c r="F25" s="132"/>
      <c r="G25" s="132"/>
      <c r="H25" s="132"/>
      <c r="I25" s="131"/>
      <c r="J25" s="115"/>
    </row>
    <row r="26" spans="2:10" x14ac:dyDescent="0.25">
      <c r="B26" s="13"/>
      <c r="C26" s="41"/>
      <c r="D26" s="155">
        <f>'Project 4 VPA'!D26</f>
        <v>0</v>
      </c>
      <c r="E26" s="155">
        <f>'Project 4 VPA'!E26</f>
        <v>0</v>
      </c>
      <c r="F26" s="155">
        <f>'Project 4 VPA'!F26</f>
        <v>0</v>
      </c>
      <c r="G26" s="155">
        <f>'Project 4 VPA'!G26</f>
        <v>0</v>
      </c>
      <c r="H26" s="155">
        <f>'Project 4 VPA'!H26</f>
        <v>0</v>
      </c>
      <c r="I26" s="131"/>
      <c r="J26" s="134">
        <f>SUM(D26:I26)</f>
        <v>0</v>
      </c>
    </row>
    <row r="27" spans="2:10" x14ac:dyDescent="0.25">
      <c r="B27" s="13"/>
      <c r="C27" s="45" t="s">
        <v>17</v>
      </c>
      <c r="D27" s="164">
        <f>SUM(D26)</f>
        <v>0</v>
      </c>
      <c r="E27" s="164">
        <f t="shared" ref="E27:H27" si="6">SUM(E26)</f>
        <v>0</v>
      </c>
      <c r="F27" s="164">
        <f t="shared" si="6"/>
        <v>0</v>
      </c>
      <c r="G27" s="164">
        <f t="shared" si="6"/>
        <v>0</v>
      </c>
      <c r="H27" s="164">
        <f t="shared" si="6"/>
        <v>0</v>
      </c>
      <c r="I27" s="131"/>
      <c r="J27" s="133">
        <f>SUM(J26:J26)</f>
        <v>0</v>
      </c>
    </row>
    <row r="28" spans="2:10" x14ac:dyDescent="0.25">
      <c r="B28" s="13"/>
      <c r="C28" s="48" t="s">
        <v>39</v>
      </c>
      <c r="D28" s="115" t="s">
        <v>32</v>
      </c>
      <c r="E28" s="132"/>
      <c r="F28" s="132"/>
      <c r="G28" s="132"/>
      <c r="H28" s="132"/>
      <c r="I28" s="131"/>
      <c r="J28" s="115"/>
    </row>
    <row r="29" spans="2:10" x14ac:dyDescent="0.25">
      <c r="B29" s="13"/>
      <c r="C29" s="191" t="s">
        <v>161</v>
      </c>
      <c r="D29" s="115"/>
      <c r="E29" s="132"/>
      <c r="F29" s="132"/>
      <c r="G29" s="132"/>
      <c r="H29" s="132"/>
      <c r="I29" s="131"/>
      <c r="J29" s="115"/>
    </row>
    <row r="30" spans="2:10" x14ac:dyDescent="0.25">
      <c r="B30" s="13"/>
      <c r="C30" s="118" t="s">
        <v>123</v>
      </c>
      <c r="D30" s="115"/>
      <c r="E30" s="115"/>
      <c r="F30" s="115"/>
      <c r="G30" s="115"/>
      <c r="H30" s="115"/>
      <c r="I30" s="131"/>
      <c r="J30" s="115"/>
    </row>
    <row r="31" spans="2:10" x14ac:dyDescent="0.25">
      <c r="B31" s="13"/>
      <c r="C31" s="192" t="s">
        <v>65</v>
      </c>
      <c r="D31" s="115">
        <f>'Project 4 VPA'!D31</f>
        <v>1000000</v>
      </c>
      <c r="E31" s="115">
        <f>'Project 4 VPA'!E31</f>
        <v>4000000</v>
      </c>
      <c r="F31" s="115">
        <f>'Project 4 VPA'!F31</f>
        <v>5000000</v>
      </c>
      <c r="G31" s="115">
        <f>'Project 4 VPA'!G31</f>
        <v>0</v>
      </c>
      <c r="H31" s="115">
        <f>'Project 4 VPA'!H31</f>
        <v>0</v>
      </c>
      <c r="I31" s="131"/>
      <c r="J31" s="115">
        <f>SUM(D31:H31)</f>
        <v>10000000</v>
      </c>
    </row>
    <row r="32" spans="2:10" x14ac:dyDescent="0.25">
      <c r="B32" s="13"/>
      <c r="C32" s="192" t="s">
        <v>41</v>
      </c>
      <c r="D32" s="115">
        <f>'Project 4 VPA'!D32</f>
        <v>500000</v>
      </c>
      <c r="E32" s="115">
        <f>'Project 4 VPA'!E32</f>
        <v>2000000</v>
      </c>
      <c r="F32" s="115">
        <f>'Project 4 VPA'!F32</f>
        <v>2250000</v>
      </c>
      <c r="G32" s="115">
        <f>'Project 4 VPA'!G32</f>
        <v>0</v>
      </c>
      <c r="H32" s="115">
        <f>'Project 4 VPA'!H32</f>
        <v>0</v>
      </c>
      <c r="I32" s="131"/>
      <c r="J32" s="115">
        <f t="shared" ref="J32:J50" si="7">SUM(D32:H32)</f>
        <v>4750000</v>
      </c>
    </row>
    <row r="33" spans="2:13" x14ac:dyDescent="0.25">
      <c r="B33" s="13"/>
      <c r="C33" s="192" t="s">
        <v>68</v>
      </c>
      <c r="D33" s="115">
        <f>'Project 4 VPA'!D33</f>
        <v>0</v>
      </c>
      <c r="E33" s="115">
        <f>'Project 4 VPA'!E33</f>
        <v>2269400</v>
      </c>
      <c r="F33" s="115">
        <f>'Project 4 VPA'!F33</f>
        <v>5673500</v>
      </c>
      <c r="G33" s="115">
        <f>'Project 4 VPA'!G33</f>
        <v>0</v>
      </c>
      <c r="H33" s="115">
        <f>'Project 4 VPA'!H33</f>
        <v>0</v>
      </c>
      <c r="I33" s="131"/>
      <c r="J33" s="115">
        <f t="shared" si="7"/>
        <v>7942900</v>
      </c>
      <c r="K33" s="161"/>
    </row>
    <row r="34" spans="2:13" x14ac:dyDescent="0.25">
      <c r="B34" s="13"/>
      <c r="C34" s="192" t="s">
        <v>55</v>
      </c>
      <c r="D34" s="115">
        <f>'Project 4 VPA'!D34</f>
        <v>289800</v>
      </c>
      <c r="E34" s="115">
        <f>'Project 4 VPA'!E34</f>
        <v>1490400</v>
      </c>
      <c r="F34" s="115">
        <f>'Project 4 VPA'!F34</f>
        <v>1117800</v>
      </c>
      <c r="G34" s="115">
        <f>'Project 4 VPA'!G34</f>
        <v>0</v>
      </c>
      <c r="H34" s="115">
        <f>'Project 4 VPA'!H34</f>
        <v>0</v>
      </c>
      <c r="I34" s="131"/>
      <c r="J34" s="115">
        <f t="shared" si="7"/>
        <v>2898000</v>
      </c>
    </row>
    <row r="35" spans="2:13" x14ac:dyDescent="0.25">
      <c r="B35" s="13"/>
      <c r="C35" s="192" t="s">
        <v>73</v>
      </c>
      <c r="D35" s="115">
        <f>'Project 4 VPA'!D35</f>
        <v>2520000</v>
      </c>
      <c r="E35" s="115">
        <f>'Project 4 VPA'!E35</f>
        <v>10800000</v>
      </c>
      <c r="F35" s="115">
        <f>'Project 4 VPA'!F35</f>
        <v>11880000</v>
      </c>
      <c r="G35" s="115">
        <f>'Project 4 VPA'!G35</f>
        <v>0</v>
      </c>
      <c r="H35" s="115">
        <f>'Project 4 VPA'!H35</f>
        <v>0</v>
      </c>
      <c r="I35" s="131"/>
      <c r="J35" s="115">
        <f t="shared" si="7"/>
        <v>25200000</v>
      </c>
    </row>
    <row r="36" spans="2:13" x14ac:dyDescent="0.25">
      <c r="B36" s="13"/>
      <c r="C36" s="192" t="s">
        <v>53</v>
      </c>
      <c r="D36" s="115">
        <f>'Project 4 VPA'!D36</f>
        <v>204000</v>
      </c>
      <c r="E36" s="115">
        <f>'Project 4 VPA'!E36</f>
        <v>864000</v>
      </c>
      <c r="F36" s="115">
        <f>'Project 4 VPA'!F36</f>
        <v>972000</v>
      </c>
      <c r="G36" s="115">
        <f>'Project 4 VPA'!G36</f>
        <v>0</v>
      </c>
      <c r="H36" s="115">
        <f>'Project 4 VPA'!H36</f>
        <v>0</v>
      </c>
      <c r="I36" s="131">
        <v>781250</v>
      </c>
      <c r="J36" s="115">
        <f t="shared" si="7"/>
        <v>2040000</v>
      </c>
    </row>
    <row r="37" spans="2:13" x14ac:dyDescent="0.25">
      <c r="B37" s="13"/>
      <c r="C37" s="192" t="s">
        <v>52</v>
      </c>
      <c r="D37" s="115">
        <f>'Project 4 VPA'!D37</f>
        <v>880000</v>
      </c>
      <c r="E37" s="115">
        <f>'Project 4 VPA'!E37</f>
        <v>2640000</v>
      </c>
      <c r="F37" s="115">
        <f>'Project 4 VPA'!F37</f>
        <v>5280000</v>
      </c>
      <c r="G37" s="115">
        <f>'Project 4 VPA'!G37</f>
        <v>0</v>
      </c>
      <c r="H37" s="115">
        <f>'Project 4 VPA'!H37</f>
        <v>0</v>
      </c>
      <c r="I37" s="131">
        <v>2083335</v>
      </c>
      <c r="J37" s="115">
        <f t="shared" si="7"/>
        <v>8800000</v>
      </c>
    </row>
    <row r="38" spans="2:13" x14ac:dyDescent="0.25">
      <c r="B38" s="13"/>
      <c r="C38" s="192" t="s">
        <v>54</v>
      </c>
      <c r="D38" s="115">
        <f>'Project 4 VPA'!D38</f>
        <v>0</v>
      </c>
      <c r="E38" s="115">
        <f>'Project 4 VPA'!E38</f>
        <v>650000</v>
      </c>
      <c r="F38" s="115">
        <f>'Project 4 VPA'!F38</f>
        <v>1040000</v>
      </c>
      <c r="G38" s="115">
        <f>'Project 4 VPA'!G38</f>
        <v>0</v>
      </c>
      <c r="H38" s="115">
        <f>'Project 4 VPA'!H38</f>
        <v>0</v>
      </c>
      <c r="I38" s="131"/>
      <c r="J38" s="115">
        <f t="shared" si="7"/>
        <v>1690000</v>
      </c>
    </row>
    <row r="39" spans="2:13" x14ac:dyDescent="0.25">
      <c r="B39" s="13"/>
      <c r="C39" s="192" t="s">
        <v>49</v>
      </c>
      <c r="D39" s="115">
        <f>'Project 4 VPA'!D39</f>
        <v>0</v>
      </c>
      <c r="E39" s="115">
        <f>'Project 4 VPA'!E39</f>
        <v>495000</v>
      </c>
      <c r="F39" s="115">
        <f>'Project 4 VPA'!F39</f>
        <v>0</v>
      </c>
      <c r="G39" s="115">
        <f>'Project 4 VPA'!G39</f>
        <v>0</v>
      </c>
      <c r="H39" s="115">
        <f>'Project 4 VPA'!H39</f>
        <v>0</v>
      </c>
      <c r="I39" s="131"/>
      <c r="J39" s="115">
        <f t="shared" si="7"/>
        <v>495000</v>
      </c>
    </row>
    <row r="40" spans="2:13" x14ac:dyDescent="0.25">
      <c r="B40" s="13"/>
      <c r="C40" s="192" t="s">
        <v>50</v>
      </c>
      <c r="D40" s="115">
        <f>'Project 4 VPA'!D40</f>
        <v>0</v>
      </c>
      <c r="E40" s="115">
        <f>'Project 4 VPA'!E40</f>
        <v>1848000</v>
      </c>
      <c r="F40" s="115">
        <f>'Project 4 VPA'!F40</f>
        <v>0</v>
      </c>
      <c r="G40" s="115">
        <f>'Project 4 VPA'!G40</f>
        <v>0</v>
      </c>
      <c r="H40" s="115">
        <f>'Project 4 VPA'!H40</f>
        <v>0</v>
      </c>
      <c r="I40" s="131">
        <v>2083335</v>
      </c>
      <c r="J40" s="115">
        <f t="shared" si="7"/>
        <v>1848000</v>
      </c>
    </row>
    <row r="41" spans="2:13" x14ac:dyDescent="0.25">
      <c r="B41" s="13"/>
      <c r="C41" s="192" t="s">
        <v>51</v>
      </c>
      <c r="D41" s="115">
        <f>'Project 4 VPA'!D41</f>
        <v>0</v>
      </c>
      <c r="E41" s="115">
        <f>'Project 4 VPA'!E41</f>
        <v>528000</v>
      </c>
      <c r="F41" s="115">
        <f>'Project 4 VPA'!F41</f>
        <v>0</v>
      </c>
      <c r="G41" s="115">
        <f>'Project 4 VPA'!G41</f>
        <v>0</v>
      </c>
      <c r="H41" s="115">
        <f>'Project 4 VPA'!H41</f>
        <v>0</v>
      </c>
      <c r="I41" s="131"/>
      <c r="J41" s="115">
        <f t="shared" si="7"/>
        <v>528000</v>
      </c>
    </row>
    <row r="42" spans="2:13" x14ac:dyDescent="0.25">
      <c r="B42" s="13"/>
      <c r="C42" s="192" t="s">
        <v>42</v>
      </c>
      <c r="D42" s="115">
        <f>'Project 4 VPA'!D42</f>
        <v>430650</v>
      </c>
      <c r="E42" s="115">
        <f>'Project 4 VPA'!E42</f>
        <v>2153250</v>
      </c>
      <c r="F42" s="115">
        <f>'Project 4 VPA'!F42</f>
        <v>1722600</v>
      </c>
      <c r="G42" s="115">
        <f>'Project 4 VPA'!G42</f>
        <v>0</v>
      </c>
      <c r="H42" s="115">
        <f>'Project 4 VPA'!H42</f>
        <v>0</v>
      </c>
      <c r="I42" s="131"/>
      <c r="J42" s="115">
        <f t="shared" si="7"/>
        <v>4306500</v>
      </c>
    </row>
    <row r="43" spans="2:13" x14ac:dyDescent="0.25">
      <c r="B43" s="13"/>
      <c r="C43" s="192" t="s">
        <v>47</v>
      </c>
      <c r="D43" s="115">
        <f>'Project 4 VPA'!D43</f>
        <v>0</v>
      </c>
      <c r="E43" s="115">
        <f>'Project 4 VPA'!E43</f>
        <v>474000</v>
      </c>
      <c r="F43" s="115">
        <f>'Project 4 VPA'!F43</f>
        <v>185000</v>
      </c>
      <c r="G43" s="115">
        <f>'Project 4 VPA'!G43</f>
        <v>0</v>
      </c>
      <c r="H43" s="115">
        <f>'Project 4 VPA'!H43</f>
        <v>0</v>
      </c>
      <c r="I43" s="131"/>
      <c r="J43" s="115">
        <f t="shared" si="7"/>
        <v>659000</v>
      </c>
    </row>
    <row r="44" spans="2:13" x14ac:dyDescent="0.25">
      <c r="B44" s="167"/>
      <c r="C44" s="192" t="s">
        <v>43</v>
      </c>
      <c r="D44" s="115">
        <f>'Project 4 VPA'!D44</f>
        <v>100000</v>
      </c>
      <c r="E44" s="115">
        <f>'Project 4 VPA'!E44</f>
        <v>500000</v>
      </c>
      <c r="F44" s="115">
        <f>'Project 4 VPA'!F44</f>
        <v>400000</v>
      </c>
      <c r="G44" s="115">
        <f>'Project 4 VPA'!G44</f>
        <v>0</v>
      </c>
      <c r="H44" s="115">
        <f>'Project 4 VPA'!H44</f>
        <v>0</v>
      </c>
      <c r="I44" s="131"/>
      <c r="J44" s="115">
        <f t="shared" si="7"/>
        <v>1000000</v>
      </c>
    </row>
    <row r="45" spans="2:13" x14ac:dyDescent="0.25">
      <c r="B45" s="167"/>
      <c r="C45" s="118" t="s">
        <v>162</v>
      </c>
      <c r="D45" s="115"/>
      <c r="E45" s="115"/>
      <c r="F45" s="115"/>
      <c r="G45" s="115"/>
      <c r="H45" s="115"/>
      <c r="I45" s="131"/>
      <c r="J45" s="115"/>
    </row>
    <row r="46" spans="2:13" x14ac:dyDescent="0.25">
      <c r="B46" s="167"/>
      <c r="C46" s="192" t="s">
        <v>70</v>
      </c>
      <c r="D46" s="115">
        <f>'Project 4 VPA'!D46</f>
        <v>1000000</v>
      </c>
      <c r="E46" s="115">
        <f>'Project 4 VPA'!E46</f>
        <v>3000000</v>
      </c>
      <c r="F46" s="115">
        <f>'Project 4 VPA'!F46</f>
        <v>2250000</v>
      </c>
      <c r="G46" s="115">
        <f>'Project 4 VPA'!G46</f>
        <v>0</v>
      </c>
      <c r="H46" s="115">
        <f>'Project 4 VPA'!H46</f>
        <v>0</v>
      </c>
      <c r="I46" s="131"/>
      <c r="J46" s="115">
        <f t="shared" si="7"/>
        <v>6250000</v>
      </c>
    </row>
    <row r="47" spans="2:13" x14ac:dyDescent="0.25">
      <c r="B47" s="167"/>
      <c r="C47" s="192" t="s">
        <v>66</v>
      </c>
      <c r="D47" s="115">
        <f>'Project 4 VPA'!D47</f>
        <v>0</v>
      </c>
      <c r="E47" s="115">
        <f>'Project 4 VPA'!E47</f>
        <v>1702050</v>
      </c>
      <c r="F47" s="115">
        <f>'Project 4 VPA'!F47</f>
        <v>702050</v>
      </c>
      <c r="G47" s="115">
        <f>'Project 4 VPA'!G47</f>
        <v>0</v>
      </c>
      <c r="H47" s="115">
        <f>'Project 4 VPA'!H47</f>
        <v>0</v>
      </c>
      <c r="I47" s="131"/>
      <c r="J47" s="115">
        <f t="shared" si="7"/>
        <v>2404100</v>
      </c>
    </row>
    <row r="48" spans="2:13" s="1" customFormat="1" x14ac:dyDescent="0.25">
      <c r="B48" s="168"/>
      <c r="C48" s="192" t="s">
        <v>72</v>
      </c>
      <c r="D48" s="115">
        <f>'Project 4 VPA'!D48</f>
        <v>0</v>
      </c>
      <c r="E48" s="115">
        <f>'Project 4 VPA'!E48</f>
        <v>600000</v>
      </c>
      <c r="F48" s="115">
        <f>'Project 4 VPA'!F48</f>
        <v>400000</v>
      </c>
      <c r="G48" s="115">
        <f>'Project 4 VPA'!G48</f>
        <v>0</v>
      </c>
      <c r="H48" s="115">
        <f>'Project 4 VPA'!H48</f>
        <v>0</v>
      </c>
      <c r="I48" s="131"/>
      <c r="J48" s="115">
        <f t="shared" si="7"/>
        <v>1000000</v>
      </c>
      <c r="K48" s="169"/>
      <c r="L48" s="198"/>
      <c r="M48" s="198"/>
    </row>
    <row r="49" spans="2:15" x14ac:dyDescent="0.25">
      <c r="B49" s="13"/>
      <c r="C49" s="192" t="s">
        <v>69</v>
      </c>
      <c r="D49" s="115">
        <f>'Project 4 VPA'!D49</f>
        <v>0</v>
      </c>
      <c r="E49" s="115">
        <f>'Project 4 VPA'!E49</f>
        <v>355500</v>
      </c>
      <c r="F49" s="115">
        <f>'Project 4 VPA'!F49</f>
        <v>355500</v>
      </c>
      <c r="G49" s="115">
        <f>'Project 4 VPA'!G49</f>
        <v>0</v>
      </c>
      <c r="H49" s="115">
        <f>'Project 4 VPA'!H49</f>
        <v>0</v>
      </c>
      <c r="I49" s="131"/>
      <c r="J49" s="115">
        <f t="shared" si="7"/>
        <v>711000</v>
      </c>
    </row>
    <row r="50" spans="2:15" x14ac:dyDescent="0.25">
      <c r="B50" s="13"/>
      <c r="C50" s="192" t="s">
        <v>67</v>
      </c>
      <c r="D50" s="115">
        <f>'Project 4 VPA'!D50</f>
        <v>717750</v>
      </c>
      <c r="E50" s="115">
        <f>'Project 4 VPA'!E50</f>
        <v>3588750</v>
      </c>
      <c r="F50" s="115">
        <f>'Project 4 VPA'!F50</f>
        <v>2871000</v>
      </c>
      <c r="G50" s="115">
        <f>'Project 4 VPA'!G50</f>
        <v>0</v>
      </c>
      <c r="H50" s="115">
        <f>'Project 4 VPA'!H50</f>
        <v>0</v>
      </c>
      <c r="I50" s="131"/>
      <c r="J50" s="115">
        <f t="shared" si="7"/>
        <v>7177500</v>
      </c>
    </row>
    <row r="51" spans="2:15" x14ac:dyDescent="0.25">
      <c r="B51" s="13"/>
      <c r="C51" s="166" t="s">
        <v>18</v>
      </c>
      <c r="D51" s="133">
        <f>SUM(D31:D50)</f>
        <v>7642200</v>
      </c>
      <c r="E51" s="133">
        <f t="shared" ref="E51:I51" si="8">SUM(E31:E50)</f>
        <v>39958350</v>
      </c>
      <c r="F51" s="133">
        <f t="shared" si="8"/>
        <v>42099450</v>
      </c>
      <c r="G51" s="133">
        <f t="shared" si="8"/>
        <v>0</v>
      </c>
      <c r="H51" s="133">
        <f t="shared" si="8"/>
        <v>0</v>
      </c>
      <c r="I51" s="133">
        <f t="shared" si="8"/>
        <v>4947920</v>
      </c>
      <c r="J51" s="133">
        <f>SUM(D51:H51)</f>
        <v>89700000</v>
      </c>
      <c r="N51" s="198"/>
      <c r="O51" s="198"/>
    </row>
    <row r="52" spans="2:15" x14ac:dyDescent="0.25">
      <c r="B52" s="14"/>
      <c r="C52" s="166" t="s">
        <v>19</v>
      </c>
      <c r="D52" s="133">
        <f>SUM(D12,D15,D18,D21,D24,D27,D51)</f>
        <v>7682452</v>
      </c>
      <c r="E52" s="133">
        <f>SUM(E12,E15,E18,E21,E24,E27,E51)</f>
        <v>39999766</v>
      </c>
      <c r="F52" s="133">
        <f>SUM(F12,F15,F18,F21,F24,F27,F51)</f>
        <v>42134065</v>
      </c>
      <c r="G52" s="133">
        <f>SUM(G12,G15,G18,G21,G24,G27,G51)</f>
        <v>30082</v>
      </c>
      <c r="H52" s="133">
        <f>SUM(H12,H15,H18,H21,H24,H27,H51)</f>
        <v>26593</v>
      </c>
      <c r="I52" s="131"/>
      <c r="J52" s="133">
        <f t="shared" ref="J52" si="9">SUM(D52:H52)</f>
        <v>89872958</v>
      </c>
      <c r="N52" s="193"/>
      <c r="O52" s="193"/>
    </row>
    <row r="53" spans="2:15" x14ac:dyDescent="0.25">
      <c r="B53" s="6"/>
      <c r="C53" s="44"/>
      <c r="D53" s="131"/>
      <c r="E53" s="131"/>
      <c r="F53" s="131"/>
      <c r="G53" s="131"/>
      <c r="H53" s="131"/>
      <c r="I53" s="131"/>
      <c r="J53" s="131" t="s">
        <v>20</v>
      </c>
    </row>
    <row r="54" spans="2:15" x14ac:dyDescent="0.25">
      <c r="B54" s="12" t="s">
        <v>40</v>
      </c>
      <c r="C54" s="70" t="s">
        <v>40</v>
      </c>
      <c r="D54" s="134"/>
      <c r="E54" s="134"/>
      <c r="F54" s="134"/>
      <c r="G54" s="134"/>
      <c r="H54" s="134"/>
      <c r="I54" s="131"/>
      <c r="J54" s="134" t="s">
        <v>20</v>
      </c>
    </row>
    <row r="55" spans="2:15" ht="30" x14ac:dyDescent="0.25">
      <c r="B55" s="13"/>
      <c r="C55" s="160" t="s">
        <v>128</v>
      </c>
      <c r="D55" s="115">
        <f>'Project 4 VPA'!D55</f>
        <v>10209</v>
      </c>
      <c r="E55" s="115">
        <f>'Project 4 VPA'!E55</f>
        <v>10512</v>
      </c>
      <c r="F55" s="115">
        <f>'Project 4 VPA'!F55</f>
        <v>8732</v>
      </c>
      <c r="G55" s="115">
        <f>'Project 4 VPA'!G55</f>
        <v>7545</v>
      </c>
      <c r="H55" s="115">
        <f>'Project 4 VPA'!H55</f>
        <v>6630</v>
      </c>
      <c r="I55" s="131"/>
      <c r="J55" s="115">
        <f>SUM(D55:H55)</f>
        <v>43628</v>
      </c>
    </row>
    <row r="56" spans="2:15" x14ac:dyDescent="0.25">
      <c r="B56" s="14"/>
      <c r="C56" s="45" t="s">
        <v>21</v>
      </c>
      <c r="D56" s="133">
        <f>SUM(D55:D55)</f>
        <v>10209</v>
      </c>
      <c r="E56" s="133">
        <f>SUM(E55:E55)</f>
        <v>10512</v>
      </c>
      <c r="F56" s="133">
        <f>SUM(F55:F55)</f>
        <v>8732</v>
      </c>
      <c r="G56" s="133">
        <f>SUM(G55:G55)</f>
        <v>7545</v>
      </c>
      <c r="H56" s="133">
        <f>SUM(H55:H55)</f>
        <v>6630</v>
      </c>
      <c r="I56" s="131"/>
      <c r="J56" s="133">
        <f t="shared" ref="J56" si="10">SUM(D56:H56)</f>
        <v>43628</v>
      </c>
    </row>
    <row r="57" spans="2:15" ht="15.75" thickBot="1" x14ac:dyDescent="0.3">
      <c r="B57" s="6"/>
      <c r="C57" s="44"/>
      <c r="D57" s="131"/>
      <c r="E57" s="131"/>
      <c r="F57" s="131"/>
      <c r="G57" s="131"/>
      <c r="H57" s="131"/>
      <c r="I57" s="131"/>
      <c r="J57" s="131" t="s">
        <v>20</v>
      </c>
    </row>
    <row r="58" spans="2:15" ht="30.75" thickBot="1" x14ac:dyDescent="0.3">
      <c r="B58" s="10" t="s">
        <v>22</v>
      </c>
      <c r="C58" s="51"/>
      <c r="D58" s="136">
        <f t="shared" ref="D58:J58" si="11">SUM(D56,D52)</f>
        <v>7692661</v>
      </c>
      <c r="E58" s="136">
        <f t="shared" si="11"/>
        <v>40010278</v>
      </c>
      <c r="F58" s="136">
        <f t="shared" si="11"/>
        <v>42142797</v>
      </c>
      <c r="G58" s="136">
        <f t="shared" si="11"/>
        <v>37627</v>
      </c>
      <c r="H58" s="136">
        <f t="shared" si="11"/>
        <v>33223</v>
      </c>
      <c r="I58" s="131">
        <f t="shared" si="11"/>
        <v>0</v>
      </c>
      <c r="J58" s="136">
        <f t="shared" si="11"/>
        <v>89916586</v>
      </c>
    </row>
    <row r="59" spans="2:15" s="198" customFormat="1" x14ac:dyDescent="0.25">
      <c r="D59" s="199"/>
      <c r="E59" s="199"/>
      <c r="F59" s="199"/>
      <c r="G59" s="199"/>
      <c r="H59" s="199"/>
      <c r="I59" s="199"/>
      <c r="J59" s="199"/>
      <c r="K59" s="199"/>
      <c r="L59" s="199"/>
    </row>
    <row r="60" spans="2:15" s="198" customFormat="1" x14ac:dyDescent="0.25">
      <c r="D60" s="199"/>
      <c r="E60" s="199"/>
      <c r="F60" s="199"/>
      <c r="G60" s="199"/>
      <c r="H60" s="199"/>
      <c r="I60" s="199"/>
      <c r="J60" s="199"/>
      <c r="K60" s="199"/>
      <c r="L60" s="199"/>
    </row>
    <row r="61" spans="2:15" s="198" customFormat="1" x14ac:dyDescent="0.25">
      <c r="D61" s="199"/>
      <c r="E61" s="199"/>
      <c r="F61" s="199"/>
      <c r="G61" s="199"/>
      <c r="H61" s="199"/>
      <c r="I61" s="199"/>
      <c r="J61" s="199"/>
      <c r="K61" s="200"/>
    </row>
    <row r="62" spans="2:15" s="198" customFormat="1" x14ac:dyDescent="0.25">
      <c r="D62" s="199"/>
      <c r="E62" s="199"/>
      <c r="F62" s="199"/>
      <c r="G62" s="199"/>
      <c r="H62" s="199"/>
      <c r="I62" s="199"/>
      <c r="J62" s="199"/>
      <c r="K62" s="200"/>
    </row>
  </sheetData>
  <pageMargins left="0.7" right="0.7" top="0.75" bottom="0.75" header="0.3" footer="0.3"/>
  <pageSetup scale="89" fitToHeight="0" orientation="landscape" r:id="rId1"/>
  <ignoredErrors>
    <ignoredError sqref="J3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4"/>
  <sheetViews>
    <sheetView showGridLines="0" topLeftCell="A26" zoomScale="85" zoomScaleNormal="85" workbookViewId="0">
      <selection activeCell="K40" sqref="K4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85546875" bestFit="1" customWidth="1"/>
    <col min="12" max="12" width="12.7109375" hidden="1" customWidth="1"/>
    <col min="13" max="13" width="10.85546875" bestFit="1" customWidth="1"/>
    <col min="14" max="15" width="9.85546875" bestFit="1" customWidth="1"/>
  </cols>
  <sheetData>
    <row r="2" spans="2:39" ht="23.25" x14ac:dyDescent="0.35">
      <c r="B2" s="15" t="s">
        <v>29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20" t="s">
        <v>2</v>
      </c>
      <c r="C5" s="21"/>
      <c r="D5" s="21"/>
      <c r="E5" s="21"/>
      <c r="F5" s="21"/>
      <c r="G5" s="21"/>
      <c r="H5" s="21"/>
      <c r="I5" s="21"/>
      <c r="J5" s="22"/>
    </row>
    <row r="6" spans="2:39" x14ac:dyDescent="0.25">
      <c r="B6" s="23" t="s">
        <v>3</v>
      </c>
      <c r="C6" s="23" t="s">
        <v>4</v>
      </c>
      <c r="D6" s="23" t="s">
        <v>5</v>
      </c>
      <c r="E6" s="24" t="s">
        <v>6</v>
      </c>
      <c r="F6" s="24" t="s">
        <v>7</v>
      </c>
      <c r="G6" s="24" t="s">
        <v>8</v>
      </c>
      <c r="H6" s="25" t="s">
        <v>9</v>
      </c>
      <c r="I6" s="26"/>
      <c r="J6" s="27" t="s">
        <v>10</v>
      </c>
    </row>
    <row r="7" spans="2:39" s="5" customFormat="1" x14ac:dyDescent="0.25">
      <c r="B7" s="12" t="s">
        <v>11</v>
      </c>
      <c r="C7" s="65" t="s">
        <v>31</v>
      </c>
      <c r="D7" s="43" t="s">
        <v>32</v>
      </c>
      <c r="E7" s="43" t="s">
        <v>32</v>
      </c>
      <c r="F7" s="43" t="s">
        <v>32</v>
      </c>
      <c r="G7" s="43"/>
      <c r="H7" s="43" t="s">
        <v>32</v>
      </c>
      <c r="I7" s="44"/>
      <c r="J7" s="66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3"/>
      <c r="C8" s="41" t="s">
        <v>129</v>
      </c>
      <c r="D8" s="127">
        <f>ROUND('DEQ Staff Costs'!I4/6,0)</f>
        <v>2977</v>
      </c>
      <c r="E8" s="127">
        <f>ROUND('DEQ Staff Costs'!I14/6,0)</f>
        <v>3066</v>
      </c>
      <c r="F8" s="127">
        <f>ROUND('DEQ Staff Costs'!I24/6,0)</f>
        <v>2453</v>
      </c>
      <c r="G8" s="127">
        <f>ROUND('DEQ Staff Costs'!I34/6,0)</f>
        <v>2044</v>
      </c>
      <c r="H8" s="127">
        <f>ROUND('DEQ Staff Costs'!I44/6,0)</f>
        <v>2044</v>
      </c>
      <c r="I8" s="50"/>
      <c r="J8" s="42">
        <f>SUM(D8:H8)</f>
        <v>12584</v>
      </c>
    </row>
    <row r="9" spans="2:39" x14ac:dyDescent="0.25">
      <c r="B9" s="13"/>
      <c r="C9" s="41" t="s">
        <v>130</v>
      </c>
      <c r="D9" s="127">
        <f>ROUND('DEQ Staff Costs'!I5/6,0)</f>
        <v>2751</v>
      </c>
      <c r="E9" s="127">
        <f>ROUND('DEQ Staff Costs'!I15/6,0)</f>
        <v>2833</v>
      </c>
      <c r="F9" s="127">
        <f>ROUND('DEQ Staff Costs'!I25/6,0)</f>
        <v>2267</v>
      </c>
      <c r="G9" s="127">
        <f>ROUND('DEQ Staff Costs'!I35/6,0)</f>
        <v>1889</v>
      </c>
      <c r="H9" s="127">
        <f>ROUND('DEQ Staff Costs'!I45/6,0)</f>
        <v>1889</v>
      </c>
      <c r="I9" s="44"/>
      <c r="J9" s="42">
        <f t="shared" ref="J9:J11" si="0">SUM(D9:H9)</f>
        <v>11629</v>
      </c>
    </row>
    <row r="10" spans="2:39" x14ac:dyDescent="0.25">
      <c r="B10" s="13"/>
      <c r="C10" s="41" t="s">
        <v>131</v>
      </c>
      <c r="D10" s="127">
        <f>ROUND('DEQ Staff Costs'!I6/6,0)</f>
        <v>1760</v>
      </c>
      <c r="E10" s="127">
        <f>ROUND('DEQ Staff Costs'!I16/6,0)</f>
        <v>1813</v>
      </c>
      <c r="F10" s="127">
        <f>ROUND('DEQ Staff Costs'!I26/6,0)</f>
        <v>1450</v>
      </c>
      <c r="G10" s="127">
        <f>ROUND('DEQ Staff Costs'!I36/6,0)</f>
        <v>1209</v>
      </c>
      <c r="H10" s="127">
        <f>ROUND('DEQ Staff Costs'!I46/6,0)</f>
        <v>974</v>
      </c>
      <c r="I10" s="44"/>
      <c r="J10" s="42">
        <f t="shared" si="0"/>
        <v>7206</v>
      </c>
    </row>
    <row r="11" spans="2:39" x14ac:dyDescent="0.25">
      <c r="B11" s="13"/>
      <c r="C11" s="41" t="s">
        <v>132</v>
      </c>
      <c r="D11" s="127">
        <f>ROUND('DEQ Staff Costs'!I7/6,0)</f>
        <v>1350</v>
      </c>
      <c r="E11" s="127">
        <f>ROUND('DEQ Staff Costs'!I17/6,0)</f>
        <v>1390</v>
      </c>
      <c r="F11" s="127">
        <f>ROUND('DEQ Staff Costs'!I27/6,0)</f>
        <v>1390</v>
      </c>
      <c r="G11" s="127">
        <f>ROUND('DEQ Staff Costs'!I37/6,0)</f>
        <v>1390</v>
      </c>
      <c r="H11" s="127">
        <f>ROUND('DEQ Staff Costs'!I47/6,0)</f>
        <v>834</v>
      </c>
      <c r="I11" s="44"/>
      <c r="J11" s="42">
        <f t="shared" si="0"/>
        <v>6354</v>
      </c>
    </row>
    <row r="12" spans="2:39" x14ac:dyDescent="0.25">
      <c r="B12" s="13"/>
      <c r="C12" s="45" t="s">
        <v>12</v>
      </c>
      <c r="D12" s="47">
        <f>SUM(D8:D11)</f>
        <v>8838</v>
      </c>
      <c r="E12" s="47">
        <f t="shared" ref="E12:H12" si="1">SUM(E8:E11)</f>
        <v>9102</v>
      </c>
      <c r="F12" s="47">
        <f t="shared" si="1"/>
        <v>7560</v>
      </c>
      <c r="G12" s="47">
        <f t="shared" si="1"/>
        <v>6532</v>
      </c>
      <c r="H12" s="47">
        <f t="shared" si="1"/>
        <v>5741</v>
      </c>
      <c r="I12" s="44"/>
      <c r="J12" s="47">
        <f>SUM(J8:J11)</f>
        <v>37773</v>
      </c>
    </row>
    <row r="13" spans="2:39" x14ac:dyDescent="0.25">
      <c r="B13" s="13"/>
      <c r="C13" s="48" t="s">
        <v>33</v>
      </c>
      <c r="D13" s="49" t="s">
        <v>32</v>
      </c>
      <c r="E13" s="43"/>
      <c r="F13" s="43"/>
      <c r="G13" s="43"/>
      <c r="H13" s="43"/>
      <c r="I13" s="44"/>
      <c r="J13" s="66"/>
    </row>
    <row r="14" spans="2:39" x14ac:dyDescent="0.25">
      <c r="B14" s="13"/>
      <c r="C14" s="126" t="s">
        <v>127</v>
      </c>
      <c r="D14" s="42">
        <f>ROUND(D12*0.47,0)</f>
        <v>4154</v>
      </c>
      <c r="E14" s="42">
        <f t="shared" ref="E14:H14" si="2">ROUND(E12*0.47,0)</f>
        <v>4278</v>
      </c>
      <c r="F14" s="42">
        <f t="shared" si="2"/>
        <v>3553</v>
      </c>
      <c r="G14" s="42">
        <f t="shared" si="2"/>
        <v>3070</v>
      </c>
      <c r="H14" s="42">
        <f t="shared" si="2"/>
        <v>2698</v>
      </c>
      <c r="I14" s="44"/>
      <c r="J14" s="42">
        <f>SUM(D14:H14)</f>
        <v>17753</v>
      </c>
    </row>
    <row r="15" spans="2:39" x14ac:dyDescent="0.25">
      <c r="B15" s="13"/>
      <c r="C15" s="45" t="s">
        <v>13</v>
      </c>
      <c r="D15" s="47">
        <f>SUM(D14:D14)</f>
        <v>4154</v>
      </c>
      <c r="E15" s="47">
        <f>SUM(E14:E14)</f>
        <v>4278</v>
      </c>
      <c r="F15" s="47">
        <f>SUM(F14:F14)</f>
        <v>3553</v>
      </c>
      <c r="G15" s="47">
        <f>SUM(G14:G14)</f>
        <v>3070</v>
      </c>
      <c r="H15" s="47">
        <f>SUM(H14:H14)</f>
        <v>2698</v>
      </c>
      <c r="I15" s="44"/>
      <c r="J15" s="47">
        <f>SUM(J14:J14)</f>
        <v>17753</v>
      </c>
    </row>
    <row r="16" spans="2:39" x14ac:dyDescent="0.25">
      <c r="B16" s="13"/>
      <c r="C16" s="48" t="s">
        <v>34</v>
      </c>
      <c r="D16" s="49" t="s">
        <v>32</v>
      </c>
      <c r="E16" s="43"/>
      <c r="F16" s="43"/>
      <c r="G16" s="43"/>
      <c r="H16" s="43"/>
      <c r="I16" s="44"/>
      <c r="J16" s="66" t="s">
        <v>32</v>
      </c>
    </row>
    <row r="17" spans="2:10" ht="90" x14ac:dyDescent="0.25">
      <c r="B17" s="13"/>
      <c r="C17" s="41" t="s">
        <v>165</v>
      </c>
      <c r="D17" s="127">
        <v>1362</v>
      </c>
      <c r="E17" s="127">
        <v>1362</v>
      </c>
      <c r="F17" s="127">
        <v>1362</v>
      </c>
      <c r="G17" s="127">
        <v>1362</v>
      </c>
      <c r="H17" s="127">
        <v>1362</v>
      </c>
      <c r="I17" s="44"/>
      <c r="J17" s="42">
        <f>SUM(D17:H17)</f>
        <v>6810</v>
      </c>
    </row>
    <row r="18" spans="2:10" x14ac:dyDescent="0.25">
      <c r="B18" s="13"/>
      <c r="C18" s="45" t="s">
        <v>14</v>
      </c>
      <c r="D18" s="47">
        <f>SUM(D17:D17)</f>
        <v>1362</v>
      </c>
      <c r="E18" s="47">
        <f>SUM(E17:E17)</f>
        <v>1362</v>
      </c>
      <c r="F18" s="47">
        <f>SUM(F17:F17)</f>
        <v>1362</v>
      </c>
      <c r="G18" s="47">
        <f>SUM(G17:G17)</f>
        <v>1362</v>
      </c>
      <c r="H18" s="47">
        <f>SUM(H17:H17)</f>
        <v>1362</v>
      </c>
      <c r="I18" s="44"/>
      <c r="J18" s="47">
        <f>SUM(D18:H18)</f>
        <v>6810</v>
      </c>
    </row>
    <row r="19" spans="2:10" x14ac:dyDescent="0.25">
      <c r="B19" s="13"/>
      <c r="C19" s="48" t="s">
        <v>35</v>
      </c>
      <c r="D19" s="42"/>
      <c r="E19" s="43"/>
      <c r="F19" s="43"/>
      <c r="G19" s="43"/>
      <c r="H19" s="43"/>
      <c r="I19" s="44"/>
      <c r="J19" s="42" t="s">
        <v>20</v>
      </c>
    </row>
    <row r="20" spans="2:10" x14ac:dyDescent="0.25">
      <c r="B20" s="13"/>
      <c r="C20" s="9"/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44"/>
      <c r="J20" s="42">
        <f>SUM(D20:H20)</f>
        <v>0</v>
      </c>
    </row>
    <row r="21" spans="2:10" x14ac:dyDescent="0.25">
      <c r="B21" s="13"/>
      <c r="C21" s="45" t="s">
        <v>15</v>
      </c>
      <c r="D21" s="46">
        <f>SUM(D20:D20)</f>
        <v>0</v>
      </c>
      <c r="E21" s="46">
        <f>SUM(E20:E20)</f>
        <v>0</v>
      </c>
      <c r="F21" s="46">
        <f>SUM(F20:F20)</f>
        <v>0</v>
      </c>
      <c r="G21" s="46">
        <f>SUM(G20:G20)</f>
        <v>0</v>
      </c>
      <c r="H21" s="46">
        <f>SUM(H20:H20)</f>
        <v>0</v>
      </c>
      <c r="I21" s="44"/>
      <c r="J21" s="47">
        <f t="shared" ref="J21:J43" si="3">SUM(D21:H21)</f>
        <v>0</v>
      </c>
    </row>
    <row r="22" spans="2:10" x14ac:dyDescent="0.25">
      <c r="B22" s="13"/>
      <c r="C22" s="48" t="s">
        <v>37</v>
      </c>
      <c r="D22" s="49" t="s">
        <v>32</v>
      </c>
      <c r="E22" s="43"/>
      <c r="F22" s="43"/>
      <c r="G22" s="43"/>
      <c r="H22" s="43"/>
      <c r="I22" s="44"/>
      <c r="J22" s="42"/>
    </row>
    <row r="23" spans="2:10" x14ac:dyDescent="0.25">
      <c r="B23" s="13"/>
      <c r="C23" s="9"/>
      <c r="D23" s="127">
        <v>0</v>
      </c>
      <c r="E23" s="127">
        <v>0</v>
      </c>
      <c r="F23" s="127">
        <v>0</v>
      </c>
      <c r="G23" s="127">
        <v>0</v>
      </c>
      <c r="H23" s="127">
        <v>0</v>
      </c>
      <c r="I23" s="44"/>
      <c r="J23" s="42">
        <f>SUM(D23:H23)</f>
        <v>0</v>
      </c>
    </row>
    <row r="24" spans="2:10" x14ac:dyDescent="0.25">
      <c r="B24" s="13"/>
      <c r="C24" s="45" t="s">
        <v>16</v>
      </c>
      <c r="D24" s="47">
        <f>SUM(D23:D23)</f>
        <v>0</v>
      </c>
      <c r="E24" s="47">
        <f>SUM(E23:E23)</f>
        <v>0</v>
      </c>
      <c r="F24" s="47">
        <f>SUM(F23:F23)</f>
        <v>0</v>
      </c>
      <c r="G24" s="47">
        <f>SUM(G23:G23)</f>
        <v>0</v>
      </c>
      <c r="H24" s="47">
        <f>SUM(H23:H23)</f>
        <v>0</v>
      </c>
      <c r="I24" s="44"/>
      <c r="J24" s="47">
        <f t="shared" si="3"/>
        <v>0</v>
      </c>
    </row>
    <row r="25" spans="2:10" x14ac:dyDescent="0.25">
      <c r="B25" s="13"/>
      <c r="C25" s="48" t="s">
        <v>38</v>
      </c>
      <c r="D25" s="49" t="s">
        <v>32</v>
      </c>
      <c r="E25" s="43"/>
      <c r="F25" s="43"/>
      <c r="G25" s="43"/>
      <c r="H25" s="43"/>
      <c r="I25" s="44"/>
      <c r="J25" s="42"/>
    </row>
    <row r="26" spans="2:10" x14ac:dyDescent="0.25">
      <c r="B26" s="13"/>
      <c r="C26" s="9"/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44"/>
      <c r="J26" s="42">
        <f>SUM(D26:H26)</f>
        <v>0</v>
      </c>
    </row>
    <row r="27" spans="2:10" x14ac:dyDescent="0.25">
      <c r="B27" s="13"/>
      <c r="C27" s="45" t="s">
        <v>17</v>
      </c>
      <c r="D27" s="47">
        <f>SUM(D26:D26)</f>
        <v>0</v>
      </c>
      <c r="E27" s="47">
        <f>SUM(E26:E26)</f>
        <v>0</v>
      </c>
      <c r="F27" s="47">
        <f>SUM(F26:F26)</f>
        <v>0</v>
      </c>
      <c r="G27" s="47">
        <f>SUM(G26:G26)</f>
        <v>0</v>
      </c>
      <c r="H27" s="47">
        <f>SUM(H26:H26)</f>
        <v>0</v>
      </c>
      <c r="I27" s="44"/>
      <c r="J27" s="47">
        <f t="shared" si="3"/>
        <v>0</v>
      </c>
    </row>
    <row r="28" spans="2:10" x14ac:dyDescent="0.25">
      <c r="B28" s="13"/>
      <c r="C28" s="48" t="s">
        <v>39</v>
      </c>
      <c r="D28" s="49" t="s">
        <v>32</v>
      </c>
      <c r="E28" s="43"/>
      <c r="F28" s="43"/>
      <c r="G28" s="43"/>
      <c r="H28" s="43"/>
      <c r="I28" s="44"/>
      <c r="J28" s="42"/>
    </row>
    <row r="29" spans="2:10" x14ac:dyDescent="0.25">
      <c r="B29" s="13"/>
      <c r="C29" s="41" t="s">
        <v>121</v>
      </c>
      <c r="D29" s="49"/>
      <c r="E29" s="43"/>
      <c r="F29" s="43"/>
      <c r="G29" s="43"/>
      <c r="H29" s="43"/>
      <c r="I29" s="44"/>
      <c r="J29" s="42"/>
    </row>
    <row r="30" spans="2:10" x14ac:dyDescent="0.25">
      <c r="B30" s="13"/>
      <c r="C30" s="41" t="s">
        <v>122</v>
      </c>
      <c r="D30" s="49"/>
      <c r="E30" s="43"/>
      <c r="F30" s="43"/>
      <c r="G30" s="43"/>
      <c r="H30" s="43"/>
      <c r="I30" s="44"/>
      <c r="J30" s="42"/>
    </row>
    <row r="31" spans="2:10" ht="30" x14ac:dyDescent="0.25">
      <c r="B31" s="13"/>
      <c r="C31" s="68" t="s">
        <v>58</v>
      </c>
      <c r="D31" s="42">
        <v>10000</v>
      </c>
      <c r="E31" s="42">
        <v>10000</v>
      </c>
      <c r="F31" s="42">
        <v>10000</v>
      </c>
      <c r="G31" s="42">
        <v>0</v>
      </c>
      <c r="H31" s="42">
        <v>0</v>
      </c>
      <c r="I31" s="44"/>
      <c r="J31" s="42">
        <f>SUM(D31:H31)</f>
        <v>30000</v>
      </c>
    </row>
    <row r="32" spans="2:10" ht="30" x14ac:dyDescent="0.25">
      <c r="B32" s="13"/>
      <c r="C32" s="68" t="s">
        <v>57</v>
      </c>
      <c r="D32" s="42">
        <v>10000</v>
      </c>
      <c r="E32" s="42">
        <v>10000</v>
      </c>
      <c r="F32" s="42">
        <v>10000</v>
      </c>
      <c r="G32" s="42">
        <v>0</v>
      </c>
      <c r="H32" s="42">
        <v>0</v>
      </c>
      <c r="I32" s="44"/>
      <c r="J32" s="42">
        <f t="shared" ref="J32:J39" si="4">SUM(D32:H32)</f>
        <v>30000</v>
      </c>
    </row>
    <row r="33" spans="2:15" x14ac:dyDescent="0.25">
      <c r="B33" s="13"/>
      <c r="C33" s="41" t="s">
        <v>63</v>
      </c>
      <c r="D33" s="42" t="s">
        <v>36</v>
      </c>
      <c r="E33" s="43"/>
      <c r="F33" s="43"/>
      <c r="G33" s="42"/>
      <c r="H33" s="42"/>
      <c r="I33" s="44"/>
      <c r="J33" s="42"/>
    </row>
    <row r="34" spans="2:15" ht="30" x14ac:dyDescent="0.25">
      <c r="B34" s="13"/>
      <c r="C34" s="68" t="s">
        <v>61</v>
      </c>
      <c r="D34" s="42">
        <v>2250</v>
      </c>
      <c r="E34" s="42">
        <v>0</v>
      </c>
      <c r="F34" s="42">
        <v>0</v>
      </c>
      <c r="G34" s="42">
        <v>0</v>
      </c>
      <c r="H34" s="42">
        <v>0</v>
      </c>
      <c r="I34" s="44"/>
      <c r="J34" s="42">
        <f t="shared" si="4"/>
        <v>2250</v>
      </c>
    </row>
    <row r="35" spans="2:15" ht="30" x14ac:dyDescent="0.25">
      <c r="B35" s="13"/>
      <c r="C35" s="68" t="s">
        <v>62</v>
      </c>
      <c r="D35" s="42">
        <v>2250</v>
      </c>
      <c r="E35" s="42">
        <v>0</v>
      </c>
      <c r="F35" s="42">
        <v>0</v>
      </c>
      <c r="G35" s="42">
        <v>0</v>
      </c>
      <c r="H35" s="42">
        <v>0</v>
      </c>
      <c r="I35" s="44"/>
      <c r="J35" s="42">
        <f t="shared" si="4"/>
        <v>2250</v>
      </c>
    </row>
    <row r="36" spans="2:15" x14ac:dyDescent="0.25">
      <c r="B36" s="13"/>
      <c r="C36" s="68" t="s">
        <v>59</v>
      </c>
      <c r="D36" s="42">
        <v>4260</v>
      </c>
      <c r="E36" s="42">
        <v>0</v>
      </c>
      <c r="F36" s="42">
        <v>0</v>
      </c>
      <c r="G36" s="42">
        <v>0</v>
      </c>
      <c r="H36" s="42">
        <v>0</v>
      </c>
      <c r="I36" s="44"/>
      <c r="J36" s="42">
        <f t="shared" si="4"/>
        <v>4260</v>
      </c>
    </row>
    <row r="37" spans="2:15" x14ac:dyDescent="0.25">
      <c r="B37" s="13"/>
      <c r="C37" s="41" t="s">
        <v>123</v>
      </c>
      <c r="D37" s="42"/>
      <c r="E37" s="43"/>
      <c r="F37" s="43"/>
      <c r="G37" s="42"/>
      <c r="H37" s="42"/>
      <c r="I37" s="44"/>
      <c r="J37" s="42"/>
    </row>
    <row r="38" spans="2:15" x14ac:dyDescent="0.25">
      <c r="B38" s="13"/>
      <c r="C38" s="41" t="s">
        <v>125</v>
      </c>
      <c r="D38" s="42">
        <v>3800000</v>
      </c>
      <c r="E38" s="42">
        <v>0</v>
      </c>
      <c r="F38" s="42">
        <v>0</v>
      </c>
      <c r="G38" s="42">
        <v>0</v>
      </c>
      <c r="H38" s="42">
        <v>0</v>
      </c>
      <c r="I38" s="44"/>
      <c r="J38" s="42">
        <f t="shared" si="4"/>
        <v>3800000</v>
      </c>
    </row>
    <row r="39" spans="2:15" ht="60" x14ac:dyDescent="0.25">
      <c r="B39" s="13"/>
      <c r="C39" s="41" t="s">
        <v>60</v>
      </c>
      <c r="D39" s="42">
        <v>0</v>
      </c>
      <c r="E39" s="42">
        <v>100000</v>
      </c>
      <c r="F39" s="42">
        <v>0</v>
      </c>
      <c r="G39" s="42">
        <v>0</v>
      </c>
      <c r="H39" s="42">
        <v>0</v>
      </c>
      <c r="I39" s="44"/>
      <c r="J39" s="42">
        <f t="shared" si="4"/>
        <v>100000</v>
      </c>
    </row>
    <row r="40" spans="2:15" x14ac:dyDescent="0.25">
      <c r="B40" s="13"/>
      <c r="C40" s="41" t="s">
        <v>124</v>
      </c>
      <c r="D40" s="42"/>
      <c r="E40" s="42"/>
      <c r="F40" s="42"/>
      <c r="G40" s="42"/>
      <c r="H40" s="43"/>
      <c r="I40" s="44"/>
      <c r="J40" s="42"/>
    </row>
    <row r="41" spans="2:15" x14ac:dyDescent="0.25">
      <c r="B41" s="13"/>
      <c r="C41" s="41" t="s">
        <v>126</v>
      </c>
      <c r="D41" s="42">
        <v>30000</v>
      </c>
      <c r="E41" s="42">
        <v>0</v>
      </c>
      <c r="F41" s="42">
        <v>0</v>
      </c>
      <c r="G41" s="42">
        <v>0</v>
      </c>
      <c r="H41" s="42">
        <v>0</v>
      </c>
      <c r="I41" s="44"/>
      <c r="J41" s="42">
        <f>SUM(D41:H41)</f>
        <v>30000</v>
      </c>
    </row>
    <row r="42" spans="2:15" x14ac:dyDescent="0.25">
      <c r="B42" s="14"/>
      <c r="C42" s="45" t="s">
        <v>18</v>
      </c>
      <c r="D42" s="47">
        <f>SUM(D31:D41)</f>
        <v>3858760</v>
      </c>
      <c r="E42" s="47">
        <f>SUM(E31:E41)</f>
        <v>120000</v>
      </c>
      <c r="F42" s="47">
        <f>SUM(F31:F41)</f>
        <v>20000</v>
      </c>
      <c r="G42" s="47">
        <f>SUM(G31:G41)</f>
        <v>0</v>
      </c>
      <c r="H42" s="47">
        <f>SUM(H31:H41)</f>
        <v>0</v>
      </c>
      <c r="I42" s="44"/>
      <c r="J42" s="47">
        <f t="shared" si="3"/>
        <v>3998760</v>
      </c>
      <c r="L42" s="161">
        <v>3998760</v>
      </c>
    </row>
    <row r="43" spans="2:15" x14ac:dyDescent="0.25">
      <c r="B43" s="14"/>
      <c r="C43" s="45" t="s">
        <v>19</v>
      </c>
      <c r="D43" s="47">
        <f>SUM(D42,D27,D24,D21,D18,D15,D12)</f>
        <v>3873114</v>
      </c>
      <c r="E43" s="47">
        <f>SUM(E42,E27,E24,E21,E18,E15,E12)</f>
        <v>134742</v>
      </c>
      <c r="F43" s="47">
        <f>SUM(F42,F27,F24,F21,F18,F15,F12)</f>
        <v>32475</v>
      </c>
      <c r="G43" s="47">
        <f>SUM(G42,G27,G24,G21,G18,G15,G12)</f>
        <v>10964</v>
      </c>
      <c r="H43" s="47">
        <f>SUM(H42,H27,H24,H21,H18,H15,H12)</f>
        <v>9801</v>
      </c>
      <c r="I43" s="44"/>
      <c r="J43" s="47">
        <f t="shared" si="3"/>
        <v>4061096</v>
      </c>
      <c r="K43" s="19"/>
      <c r="L43" s="19"/>
      <c r="M43" s="19"/>
    </row>
    <row r="44" spans="2:15" x14ac:dyDescent="0.25">
      <c r="B44" s="6"/>
      <c r="C44" s="44"/>
      <c r="D44" s="44"/>
      <c r="E44" s="44"/>
      <c r="F44" s="42"/>
      <c r="G44" s="42"/>
      <c r="H44" s="44"/>
      <c r="I44" s="44"/>
      <c r="J44" s="44" t="s">
        <v>20</v>
      </c>
    </row>
    <row r="45" spans="2:15" x14ac:dyDescent="0.25">
      <c r="B45" s="12" t="s">
        <v>40</v>
      </c>
      <c r="C45" s="70" t="s">
        <v>40</v>
      </c>
      <c r="D45" s="66"/>
      <c r="E45" s="66"/>
      <c r="F45" s="42"/>
      <c r="G45" s="42"/>
      <c r="H45" s="66"/>
      <c r="I45" s="44"/>
      <c r="J45" s="66" t="s">
        <v>20</v>
      </c>
    </row>
    <row r="46" spans="2:15" ht="30" x14ac:dyDescent="0.25">
      <c r="B46" s="13"/>
      <c r="C46" s="128" t="s">
        <v>128</v>
      </c>
      <c r="D46" s="42">
        <f>ROUND(D12*0.385,0)</f>
        <v>3403</v>
      </c>
      <c r="E46" s="42">
        <f>ROUND(E12*0.385,0)</f>
        <v>3504</v>
      </c>
      <c r="F46" s="42">
        <f>ROUNDDOWN(F12*0.385,0)</f>
        <v>2910</v>
      </c>
      <c r="G46" s="42">
        <f>ROUND(G12*0.385,0)</f>
        <v>2515</v>
      </c>
      <c r="H46" s="42">
        <f>ROUND(H12*0.385,0)</f>
        <v>2210</v>
      </c>
      <c r="I46" s="44"/>
      <c r="J46" s="42">
        <f>SUM(D46:H46)</f>
        <v>14542</v>
      </c>
      <c r="K46" s="146"/>
      <c r="L46" s="146"/>
      <c r="M46" s="146"/>
      <c r="N46" s="146"/>
      <c r="O46" s="146"/>
    </row>
    <row r="47" spans="2:15" x14ac:dyDescent="0.25">
      <c r="B47" s="14"/>
      <c r="C47" s="45" t="s">
        <v>21</v>
      </c>
      <c r="D47" s="47">
        <f>SUM(D46:D46)</f>
        <v>3403</v>
      </c>
      <c r="E47" s="47">
        <f>SUM(E46:E46)</f>
        <v>3504</v>
      </c>
      <c r="F47" s="47">
        <f>SUM(F46:F46)</f>
        <v>2910</v>
      </c>
      <c r="G47" s="47">
        <f>SUM(G46:G46)</f>
        <v>2515</v>
      </c>
      <c r="H47" s="47">
        <f>SUM(H46:H46)</f>
        <v>2210</v>
      </c>
      <c r="I47" s="44"/>
      <c r="J47" s="47">
        <f t="shared" ref="J47" si="5">SUM(D47:H47)</f>
        <v>14542</v>
      </c>
    </row>
    <row r="48" spans="2:15" ht="15.75" thickBot="1" x14ac:dyDescent="0.3">
      <c r="B48" s="6"/>
      <c r="C48" s="44"/>
      <c r="D48" s="44"/>
      <c r="E48" s="44"/>
      <c r="F48" s="44"/>
      <c r="G48" s="44"/>
      <c r="H48" s="44"/>
      <c r="I48" s="44"/>
      <c r="J48" s="44" t="s">
        <v>20</v>
      </c>
    </row>
    <row r="49" spans="2:10" s="1" customFormat="1" ht="30.75" thickBot="1" x14ac:dyDescent="0.3">
      <c r="B49" s="10" t="s">
        <v>22</v>
      </c>
      <c r="C49" s="51"/>
      <c r="D49" s="52">
        <f>SUM(D47,D43)</f>
        <v>3876517</v>
      </c>
      <c r="E49" s="52">
        <f>SUM(E47,E43)</f>
        <v>138246</v>
      </c>
      <c r="F49" s="52">
        <f>SUM(F47,F43)</f>
        <v>35385</v>
      </c>
      <c r="G49" s="52">
        <f>SUM(G47,G43)</f>
        <v>13479</v>
      </c>
      <c r="H49" s="52">
        <f>SUM(H47,H43)</f>
        <v>12011</v>
      </c>
      <c r="I49" s="44"/>
      <c r="J49" s="52">
        <f>SUM(J47,J43)</f>
        <v>4075638</v>
      </c>
    </row>
    <row r="50" spans="2:10" x14ac:dyDescent="0.25">
      <c r="B50" s="6"/>
    </row>
    <row r="51" spans="2:10" x14ac:dyDescent="0.25">
      <c r="B51" s="6"/>
    </row>
    <row r="52" spans="2:10" x14ac:dyDescent="0.25">
      <c r="B52" s="6"/>
    </row>
    <row r="53" spans="2:10" x14ac:dyDescent="0.25">
      <c r="B53" s="6"/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55"/>
  <sheetViews>
    <sheetView showGridLines="0" zoomScale="85" zoomScaleNormal="85" workbookViewId="0">
      <pane xSplit="3" ySplit="6" topLeftCell="D28" activePane="bottomRight" state="frozen"/>
      <selection pane="topRight" activeCell="R20" sqref="R20:W20"/>
      <selection pane="bottomLeft" activeCell="R20" sqref="R20:W20"/>
      <selection pane="bottomRight" activeCell="K37" sqref="K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8.5703125" style="6" customWidth="1"/>
    <col min="5" max="5" width="17.140625" style="2" customWidth="1"/>
    <col min="6" max="6" width="16.7109375" customWidth="1"/>
    <col min="7" max="7" width="17.71093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  <col min="12" max="12" width="13.85546875" hidden="1" customWidth="1"/>
  </cols>
  <sheetData>
    <row r="2" spans="2:39" ht="23.25" x14ac:dyDescent="0.35">
      <c r="B2" s="15" t="s">
        <v>29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20" t="s">
        <v>2</v>
      </c>
      <c r="C5" s="21"/>
      <c r="D5" s="21"/>
      <c r="E5" s="21"/>
      <c r="F5" s="21"/>
      <c r="G5" s="21"/>
      <c r="H5" s="21"/>
      <c r="I5" s="21"/>
      <c r="J5" s="22"/>
    </row>
    <row r="6" spans="2:39" x14ac:dyDescent="0.25">
      <c r="B6" s="23" t="s">
        <v>3</v>
      </c>
      <c r="C6" s="23" t="s">
        <v>4</v>
      </c>
      <c r="D6" s="23" t="s">
        <v>5</v>
      </c>
      <c r="E6" s="24" t="s">
        <v>6</v>
      </c>
      <c r="F6" s="24" t="s">
        <v>7</v>
      </c>
      <c r="G6" s="24" t="s">
        <v>8</v>
      </c>
      <c r="H6" s="25" t="s">
        <v>9</v>
      </c>
      <c r="I6" s="26"/>
      <c r="J6" s="27" t="s">
        <v>10</v>
      </c>
    </row>
    <row r="7" spans="2:39" s="5" customFormat="1" x14ac:dyDescent="0.25">
      <c r="B7" s="12" t="s">
        <v>11</v>
      </c>
      <c r="C7" s="65" t="s">
        <v>31</v>
      </c>
      <c r="D7" s="43" t="s">
        <v>32</v>
      </c>
      <c r="E7" s="43" t="s">
        <v>32</v>
      </c>
      <c r="F7" s="43" t="s">
        <v>32</v>
      </c>
      <c r="G7" s="43"/>
      <c r="H7" s="43" t="s">
        <v>32</v>
      </c>
      <c r="I7" s="44"/>
      <c r="J7" s="66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3"/>
      <c r="C8" s="41" t="s">
        <v>129</v>
      </c>
      <c r="D8" s="127">
        <f>ROUND('DEQ Staff Costs'!I4/6,0)</f>
        <v>2977</v>
      </c>
      <c r="E8" s="127">
        <f>ROUND('DEQ Staff Costs'!I14/6,0)</f>
        <v>3066</v>
      </c>
      <c r="F8" s="127">
        <f>ROUND('DEQ Staff Costs'!I24/6,0)</f>
        <v>2453</v>
      </c>
      <c r="G8" s="127">
        <f>ROUND('DEQ Staff Costs'!I34/6,0)</f>
        <v>2044</v>
      </c>
      <c r="H8" s="127">
        <f>ROUND('DEQ Staff Costs'!I44/6,0)</f>
        <v>2044</v>
      </c>
      <c r="I8" s="50"/>
      <c r="J8" s="42">
        <f>SUM(D8:H8)</f>
        <v>12584</v>
      </c>
    </row>
    <row r="9" spans="2:39" x14ac:dyDescent="0.25">
      <c r="B9" s="13"/>
      <c r="C9" s="41" t="s">
        <v>130</v>
      </c>
      <c r="D9" s="127">
        <f>ROUND('DEQ Staff Costs'!I5/6,0)</f>
        <v>2751</v>
      </c>
      <c r="E9" s="127">
        <f>ROUND('DEQ Staff Costs'!I15/6,0)</f>
        <v>2833</v>
      </c>
      <c r="F9" s="127">
        <f>ROUND('DEQ Staff Costs'!I25/6,0)</f>
        <v>2267</v>
      </c>
      <c r="G9" s="127">
        <f>ROUND('DEQ Staff Costs'!I35/6,0)</f>
        <v>1889</v>
      </c>
      <c r="H9" s="127">
        <f>ROUND('DEQ Staff Costs'!I45/6,0)</f>
        <v>1889</v>
      </c>
      <c r="I9" s="44"/>
      <c r="J9" s="42">
        <f t="shared" ref="J9:J11" si="0">SUM(D9:H9)</f>
        <v>11629</v>
      </c>
    </row>
    <row r="10" spans="2:39" x14ac:dyDescent="0.25">
      <c r="B10" s="13"/>
      <c r="C10" s="41" t="s">
        <v>131</v>
      </c>
      <c r="D10" s="127">
        <f>ROUND('DEQ Staff Costs'!I6/6,0)</f>
        <v>1760</v>
      </c>
      <c r="E10" s="127">
        <f>ROUND('DEQ Staff Costs'!I16/6,0)</f>
        <v>1813</v>
      </c>
      <c r="F10" s="127">
        <f>ROUND('DEQ Staff Costs'!I26/6,0)</f>
        <v>1450</v>
      </c>
      <c r="G10" s="127">
        <f>ROUND('DEQ Staff Costs'!I36/6,0)</f>
        <v>1209</v>
      </c>
      <c r="H10" s="127">
        <f>ROUND('DEQ Staff Costs'!I46/6,0)</f>
        <v>974</v>
      </c>
      <c r="I10" s="44"/>
      <c r="J10" s="42">
        <f t="shared" si="0"/>
        <v>7206</v>
      </c>
    </row>
    <row r="11" spans="2:39" x14ac:dyDescent="0.25">
      <c r="B11" s="13"/>
      <c r="C11" s="41" t="s">
        <v>132</v>
      </c>
      <c r="D11" s="127">
        <f>ROUND('DEQ Staff Costs'!I7/6,0)</f>
        <v>1350</v>
      </c>
      <c r="E11" s="127">
        <f>ROUND('DEQ Staff Costs'!I17/6,0)</f>
        <v>1390</v>
      </c>
      <c r="F11" s="127">
        <f>ROUND('DEQ Staff Costs'!I27/6,0)</f>
        <v>1390</v>
      </c>
      <c r="G11" s="127">
        <f>ROUND('DEQ Staff Costs'!I37/6,0)</f>
        <v>1390</v>
      </c>
      <c r="H11" s="127">
        <f>ROUND('DEQ Staff Costs'!I47/6,0)</f>
        <v>834</v>
      </c>
      <c r="I11" s="44"/>
      <c r="J11" s="42">
        <f t="shared" si="0"/>
        <v>6354</v>
      </c>
    </row>
    <row r="12" spans="2:39" x14ac:dyDescent="0.25">
      <c r="B12" s="13"/>
      <c r="C12" s="45" t="s">
        <v>12</v>
      </c>
      <c r="D12" s="47">
        <f>SUM(D8:D11)</f>
        <v>8838</v>
      </c>
      <c r="E12" s="47">
        <f t="shared" ref="E12:J12" si="1">SUM(E8:E11)</f>
        <v>9102</v>
      </c>
      <c r="F12" s="47">
        <f t="shared" si="1"/>
        <v>7560</v>
      </c>
      <c r="G12" s="47">
        <f t="shared" si="1"/>
        <v>6532</v>
      </c>
      <c r="H12" s="47">
        <f t="shared" si="1"/>
        <v>5741</v>
      </c>
      <c r="I12" s="44">
        <f t="shared" si="1"/>
        <v>0</v>
      </c>
      <c r="J12" s="47">
        <f t="shared" si="1"/>
        <v>37773</v>
      </c>
    </row>
    <row r="13" spans="2:39" x14ac:dyDescent="0.25">
      <c r="B13" s="13"/>
      <c r="C13" s="48" t="s">
        <v>33</v>
      </c>
      <c r="D13" s="49" t="s">
        <v>32</v>
      </c>
      <c r="E13" s="43"/>
      <c r="F13" s="43"/>
      <c r="G13" s="43"/>
      <c r="H13" s="43"/>
      <c r="I13" s="44"/>
      <c r="J13" s="66" t="s">
        <v>32</v>
      </c>
    </row>
    <row r="14" spans="2:39" x14ac:dyDescent="0.25">
      <c r="B14" s="13"/>
      <c r="C14" s="126" t="s">
        <v>127</v>
      </c>
      <c r="D14" s="42">
        <f>ROUND(D12*0.47,0)</f>
        <v>4154</v>
      </c>
      <c r="E14" s="42">
        <f t="shared" ref="E14:H14" si="2">ROUND(E12*0.47,0)</f>
        <v>4278</v>
      </c>
      <c r="F14" s="42">
        <f t="shared" si="2"/>
        <v>3553</v>
      </c>
      <c r="G14" s="42">
        <f t="shared" si="2"/>
        <v>3070</v>
      </c>
      <c r="H14" s="42">
        <f t="shared" si="2"/>
        <v>2698</v>
      </c>
      <c r="I14" s="44"/>
      <c r="J14" s="42">
        <f>SUM(D14:H14)</f>
        <v>17753</v>
      </c>
    </row>
    <row r="15" spans="2:39" x14ac:dyDescent="0.25">
      <c r="B15" s="13"/>
      <c r="C15" s="45" t="s">
        <v>13</v>
      </c>
      <c r="D15" s="47">
        <f t="shared" ref="D15:J15" si="3">SUM(D14:D14)</f>
        <v>4154</v>
      </c>
      <c r="E15" s="47">
        <f t="shared" si="3"/>
        <v>4278</v>
      </c>
      <c r="F15" s="47">
        <f t="shared" si="3"/>
        <v>3553</v>
      </c>
      <c r="G15" s="47">
        <f t="shared" si="3"/>
        <v>3070</v>
      </c>
      <c r="H15" s="47">
        <f t="shared" si="3"/>
        <v>2698</v>
      </c>
      <c r="I15" s="44">
        <f t="shared" si="3"/>
        <v>0</v>
      </c>
      <c r="J15" s="47">
        <f t="shared" si="3"/>
        <v>17753</v>
      </c>
    </row>
    <row r="16" spans="2:39" x14ac:dyDescent="0.25">
      <c r="B16" s="13"/>
      <c r="C16" s="48" t="s">
        <v>34</v>
      </c>
      <c r="D16" s="49" t="s">
        <v>32</v>
      </c>
      <c r="E16" s="43"/>
      <c r="F16" s="43"/>
      <c r="G16" s="43"/>
      <c r="H16" s="43"/>
      <c r="I16" s="44"/>
      <c r="J16" s="66" t="s">
        <v>32</v>
      </c>
    </row>
    <row r="17" spans="2:10" ht="90" x14ac:dyDescent="0.25">
      <c r="B17" s="13"/>
      <c r="C17" s="41" t="s">
        <v>166</v>
      </c>
      <c r="D17" s="127">
        <v>1362</v>
      </c>
      <c r="E17" s="127">
        <v>1362</v>
      </c>
      <c r="F17" s="127">
        <v>1362</v>
      </c>
      <c r="G17" s="127">
        <v>1362</v>
      </c>
      <c r="H17" s="127">
        <v>1362</v>
      </c>
      <c r="I17" s="44"/>
      <c r="J17" s="42">
        <f>SUM(D17:H17)</f>
        <v>6810</v>
      </c>
    </row>
    <row r="18" spans="2:10" x14ac:dyDescent="0.25">
      <c r="B18" s="13"/>
      <c r="C18" s="45" t="s">
        <v>14</v>
      </c>
      <c r="D18" s="47">
        <f>SUM(D17)</f>
        <v>1362</v>
      </c>
      <c r="E18" s="47">
        <f t="shared" ref="E18:H18" si="4">SUM(E17)</f>
        <v>1362</v>
      </c>
      <c r="F18" s="47">
        <f t="shared" si="4"/>
        <v>1362</v>
      </c>
      <c r="G18" s="47">
        <f t="shared" si="4"/>
        <v>1362</v>
      </c>
      <c r="H18" s="47">
        <f t="shared" si="4"/>
        <v>1362</v>
      </c>
      <c r="I18" s="44"/>
      <c r="J18" s="47">
        <f>SUM(D18:H18)</f>
        <v>6810</v>
      </c>
    </row>
    <row r="19" spans="2:10" x14ac:dyDescent="0.25">
      <c r="B19" s="13"/>
      <c r="C19" s="48" t="s">
        <v>35</v>
      </c>
      <c r="D19" s="42"/>
      <c r="E19" s="43"/>
      <c r="F19" s="43"/>
      <c r="G19" s="43"/>
      <c r="H19" s="43"/>
      <c r="I19" s="44"/>
      <c r="J19" s="42" t="s">
        <v>20</v>
      </c>
    </row>
    <row r="20" spans="2:10" x14ac:dyDescent="0.25">
      <c r="B20" s="13"/>
      <c r="C20" s="41"/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44"/>
      <c r="J20" s="42">
        <f>SUM(D20:I20)</f>
        <v>0</v>
      </c>
    </row>
    <row r="21" spans="2:10" x14ac:dyDescent="0.25">
      <c r="B21" s="13"/>
      <c r="C21" s="45" t="s">
        <v>15</v>
      </c>
      <c r="D21" s="46">
        <f>SUM(D20:D20)</f>
        <v>0</v>
      </c>
      <c r="E21" s="46">
        <f>SUM(E20:E20)</f>
        <v>0</v>
      </c>
      <c r="F21" s="46">
        <f>SUM(F20:F20)</f>
        <v>0</v>
      </c>
      <c r="G21" s="46">
        <f>SUM(G20:G20)</f>
        <v>0</v>
      </c>
      <c r="H21" s="46">
        <f>SUM(H20:H20)</f>
        <v>0</v>
      </c>
      <c r="I21" s="44"/>
      <c r="J21" s="47">
        <f t="shared" ref="J21:J34" si="5">SUM(D21:H21)</f>
        <v>0</v>
      </c>
    </row>
    <row r="22" spans="2:10" x14ac:dyDescent="0.25">
      <c r="B22" s="13"/>
      <c r="C22" s="48" t="s">
        <v>37</v>
      </c>
      <c r="D22" s="49" t="s">
        <v>32</v>
      </c>
      <c r="E22" s="43"/>
      <c r="F22" s="43"/>
      <c r="G22" s="43"/>
      <c r="H22" s="43"/>
      <c r="I22" s="44"/>
      <c r="J22" s="42"/>
    </row>
    <row r="23" spans="2:10" x14ac:dyDescent="0.25">
      <c r="B23" s="13"/>
      <c r="C23" s="41"/>
      <c r="D23" s="127">
        <v>0</v>
      </c>
      <c r="E23" s="127">
        <v>0</v>
      </c>
      <c r="F23" s="127">
        <v>0</v>
      </c>
      <c r="G23" s="127">
        <v>0</v>
      </c>
      <c r="H23" s="127">
        <v>0</v>
      </c>
      <c r="I23" s="50"/>
      <c r="J23" s="42">
        <f>SUM(D23:H23)</f>
        <v>0</v>
      </c>
    </row>
    <row r="24" spans="2:10" x14ac:dyDescent="0.25">
      <c r="B24" s="13"/>
      <c r="C24" s="45" t="s">
        <v>16</v>
      </c>
      <c r="D24" s="47">
        <f>SUM(D23:D23)</f>
        <v>0</v>
      </c>
      <c r="E24" s="47">
        <f>SUM(E23:E23)</f>
        <v>0</v>
      </c>
      <c r="F24" s="47">
        <f>SUM(F23:F23)</f>
        <v>0</v>
      </c>
      <c r="G24" s="47">
        <f>SUM(G23:G23)</f>
        <v>0</v>
      </c>
      <c r="H24" s="47">
        <f>SUM(H23:H23)</f>
        <v>0</v>
      </c>
      <c r="I24" s="44"/>
      <c r="J24" s="47">
        <f t="shared" si="5"/>
        <v>0</v>
      </c>
    </row>
    <row r="25" spans="2:10" x14ac:dyDescent="0.25">
      <c r="B25" s="13"/>
      <c r="C25" s="48" t="s">
        <v>38</v>
      </c>
      <c r="D25" s="49" t="s">
        <v>32</v>
      </c>
      <c r="E25" s="43"/>
      <c r="F25" s="43"/>
      <c r="G25" s="43"/>
      <c r="H25" s="43"/>
      <c r="I25" s="44"/>
      <c r="J25" s="42"/>
    </row>
    <row r="26" spans="2:10" x14ac:dyDescent="0.25">
      <c r="B26" s="13"/>
      <c r="C26" s="41"/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31"/>
      <c r="J26" s="115">
        <f>SUM(D26:H26)</f>
        <v>0</v>
      </c>
    </row>
    <row r="27" spans="2:10" x14ac:dyDescent="0.25">
      <c r="B27" s="13"/>
      <c r="C27" s="45" t="s">
        <v>17</v>
      </c>
      <c r="D27" s="47">
        <f>SUM(D26:D26)</f>
        <v>0</v>
      </c>
      <c r="E27" s="47">
        <f>SUM(E26:E26)</f>
        <v>0</v>
      </c>
      <c r="F27" s="47">
        <f>SUM(F26:F26)</f>
        <v>0</v>
      </c>
      <c r="G27" s="47">
        <f>SUM(G26:G26)</f>
        <v>0</v>
      </c>
      <c r="H27" s="47">
        <f>SUM(H26:H26)</f>
        <v>0</v>
      </c>
      <c r="I27" s="44"/>
      <c r="J27" s="47">
        <f t="shared" si="5"/>
        <v>0</v>
      </c>
    </row>
    <row r="28" spans="2:10" x14ac:dyDescent="0.25">
      <c r="B28" s="13"/>
      <c r="C28" s="48" t="s">
        <v>39</v>
      </c>
      <c r="D28" s="49" t="s">
        <v>32</v>
      </c>
      <c r="E28" s="43"/>
      <c r="F28" s="43"/>
      <c r="G28" s="43"/>
      <c r="H28" s="43"/>
      <c r="I28" s="44"/>
      <c r="J28" s="42"/>
    </row>
    <row r="29" spans="2:10" x14ac:dyDescent="0.25">
      <c r="B29" s="13"/>
      <c r="C29" s="41" t="s">
        <v>133</v>
      </c>
      <c r="D29" s="49"/>
      <c r="E29" s="43"/>
      <c r="F29" s="43"/>
      <c r="G29" s="43"/>
      <c r="H29" s="43"/>
      <c r="I29" s="44"/>
      <c r="J29" s="42"/>
    </row>
    <row r="30" spans="2:10" x14ac:dyDescent="0.25">
      <c r="B30" s="13"/>
      <c r="C30" s="41" t="s">
        <v>123</v>
      </c>
      <c r="D30" s="49"/>
      <c r="E30" s="43"/>
      <c r="F30" s="43"/>
      <c r="G30" s="43"/>
      <c r="H30" s="43"/>
      <c r="I30" s="44"/>
      <c r="J30" s="42"/>
    </row>
    <row r="31" spans="2:10" ht="75" x14ac:dyDescent="0.25">
      <c r="B31" s="13"/>
      <c r="C31" s="68" t="s">
        <v>134</v>
      </c>
      <c r="D31" s="115">
        <v>10963527</v>
      </c>
      <c r="E31" s="115">
        <v>25806456</v>
      </c>
      <c r="F31" s="115">
        <v>15793551</v>
      </c>
      <c r="G31" s="115">
        <v>25059101</v>
      </c>
      <c r="H31" s="115">
        <v>5530901</v>
      </c>
      <c r="I31" s="44"/>
      <c r="J31" s="42">
        <f>SUM(D31:H31)</f>
        <v>83153536</v>
      </c>
    </row>
    <row r="32" spans="2:10" ht="75" x14ac:dyDescent="0.25">
      <c r="B32" s="13"/>
      <c r="C32" s="68" t="s">
        <v>71</v>
      </c>
      <c r="D32" s="115">
        <v>251982</v>
      </c>
      <c r="E32" s="115">
        <v>385532</v>
      </c>
      <c r="F32" s="115">
        <v>393243</v>
      </c>
      <c r="G32" s="115">
        <v>401108</v>
      </c>
      <c r="H32" s="115">
        <v>275428</v>
      </c>
      <c r="I32" s="44"/>
      <c r="J32" s="42">
        <f>SUM(D32:H32)</f>
        <v>1707293</v>
      </c>
    </row>
    <row r="33" spans="2:12" x14ac:dyDescent="0.25">
      <c r="B33" s="14"/>
      <c r="C33" s="45" t="s">
        <v>18</v>
      </c>
      <c r="D33" s="47">
        <f>SUM(D31:D32)</f>
        <v>11215509</v>
      </c>
      <c r="E33" s="47">
        <f>SUM(E31:E32)</f>
        <v>26191988</v>
      </c>
      <c r="F33" s="47">
        <f>SUM(F31:F32)</f>
        <v>16186794</v>
      </c>
      <c r="G33" s="47">
        <f>SUM(G31:G32)</f>
        <v>25460209</v>
      </c>
      <c r="H33" s="47">
        <f>SUM(H31:H32)</f>
        <v>5806329</v>
      </c>
      <c r="I33" s="44"/>
      <c r="J33" s="47">
        <f t="shared" si="5"/>
        <v>84860829</v>
      </c>
      <c r="L33" s="161">
        <v>84860829</v>
      </c>
    </row>
    <row r="34" spans="2:12" x14ac:dyDescent="0.25">
      <c r="B34" s="14"/>
      <c r="C34" s="45" t="s">
        <v>19</v>
      </c>
      <c r="D34" s="47">
        <f>SUM(D33,D27,D24,D21,D18,D15,D12)</f>
        <v>11229863</v>
      </c>
      <c r="E34" s="47">
        <f>SUM(E33,E27,E24,E21,E18,E15,E12)</f>
        <v>26206730</v>
      </c>
      <c r="F34" s="47">
        <f>SUM(F33,F27,F24,F21,F18,F15,F12)</f>
        <v>16199269</v>
      </c>
      <c r="G34" s="47">
        <f>SUM(G33,G27,G24,G21,G18,G15,G12)</f>
        <v>25471173</v>
      </c>
      <c r="H34" s="47">
        <f>SUM(H33,H27,H24,H21,H18,H15,H12)</f>
        <v>5816130</v>
      </c>
      <c r="I34" s="44"/>
      <c r="J34" s="47">
        <f t="shared" si="5"/>
        <v>84923165</v>
      </c>
    </row>
    <row r="35" spans="2:12" x14ac:dyDescent="0.25">
      <c r="B35" s="6"/>
      <c r="C35" s="44"/>
      <c r="D35" s="44"/>
      <c r="E35" s="44"/>
      <c r="F35" s="44"/>
      <c r="G35" s="44"/>
      <c r="H35" s="44"/>
      <c r="I35" s="44"/>
      <c r="J35" s="44" t="s">
        <v>20</v>
      </c>
    </row>
    <row r="36" spans="2:12" x14ac:dyDescent="0.25">
      <c r="B36" s="12" t="s">
        <v>40</v>
      </c>
      <c r="C36" s="70" t="s">
        <v>40</v>
      </c>
      <c r="D36" s="66"/>
      <c r="E36" s="66"/>
      <c r="F36" s="66"/>
      <c r="G36" s="66"/>
      <c r="H36" s="66"/>
      <c r="I36" s="44"/>
      <c r="J36" s="66" t="s">
        <v>20</v>
      </c>
    </row>
    <row r="37" spans="2:12" ht="30" x14ac:dyDescent="0.25">
      <c r="B37" s="13"/>
      <c r="C37" s="128" t="s">
        <v>128</v>
      </c>
      <c r="D37" s="42">
        <f>ROUND(D12*0.385,0)</f>
        <v>3403</v>
      </c>
      <c r="E37" s="42">
        <f t="shared" ref="E37:H37" si="6">ROUND(E12*0.385,0)</f>
        <v>3504</v>
      </c>
      <c r="F37" s="42">
        <f>ROUNDDOWN(F12*0.385,0)</f>
        <v>2910</v>
      </c>
      <c r="G37" s="42">
        <f t="shared" si="6"/>
        <v>2515</v>
      </c>
      <c r="H37" s="42">
        <f t="shared" si="6"/>
        <v>2210</v>
      </c>
      <c r="I37" s="44"/>
      <c r="J37" s="42">
        <f>SUM(D37:H37)</f>
        <v>14542</v>
      </c>
    </row>
    <row r="38" spans="2:12" x14ac:dyDescent="0.25">
      <c r="B38" s="14"/>
      <c r="C38" s="45" t="s">
        <v>21</v>
      </c>
      <c r="D38" s="47">
        <f>SUM(D37:D37)</f>
        <v>3403</v>
      </c>
      <c r="E38" s="47">
        <f>SUM(E37:E37)</f>
        <v>3504</v>
      </c>
      <c r="F38" s="47">
        <f>SUM(F37:F37)</f>
        <v>2910</v>
      </c>
      <c r="G38" s="47">
        <f>SUM(G37:G37)</f>
        <v>2515</v>
      </c>
      <c r="H38" s="47">
        <f>SUM(H37:H37)</f>
        <v>2210</v>
      </c>
      <c r="I38" s="44"/>
      <c r="J38" s="47">
        <f t="shared" ref="J38" si="7">SUM(D38:H38)</f>
        <v>14542</v>
      </c>
    </row>
    <row r="39" spans="2:12" ht="15.75" thickBot="1" x14ac:dyDescent="0.3">
      <c r="B39" s="6"/>
      <c r="C39" s="44"/>
      <c r="D39" s="44"/>
      <c r="E39" s="44"/>
      <c r="F39" s="44"/>
      <c r="G39" s="44"/>
      <c r="H39" s="44"/>
      <c r="I39" s="44"/>
      <c r="J39" s="44" t="s">
        <v>20</v>
      </c>
    </row>
    <row r="40" spans="2:12" s="1" customFormat="1" ht="30.75" thickBot="1" x14ac:dyDescent="0.3">
      <c r="B40" s="10" t="s">
        <v>22</v>
      </c>
      <c r="C40" s="51"/>
      <c r="D40" s="52">
        <f t="shared" ref="D40:J40" si="8">SUM(D38,D34)</f>
        <v>11233266</v>
      </c>
      <c r="E40" s="52">
        <f t="shared" si="8"/>
        <v>26210234</v>
      </c>
      <c r="F40" s="52">
        <f t="shared" si="8"/>
        <v>16202179</v>
      </c>
      <c r="G40" s="52">
        <f t="shared" si="8"/>
        <v>25473688</v>
      </c>
      <c r="H40" s="52">
        <f t="shared" si="8"/>
        <v>5818340</v>
      </c>
      <c r="I40" s="44">
        <f t="shared" si="8"/>
        <v>0</v>
      </c>
      <c r="J40" s="52">
        <f t="shared" si="8"/>
        <v>84937707</v>
      </c>
    </row>
    <row r="41" spans="2:12" x14ac:dyDescent="0.25">
      <c r="B41" s="6"/>
    </row>
    <row r="42" spans="2:12" x14ac:dyDescent="0.25">
      <c r="B42" s="6"/>
    </row>
    <row r="43" spans="2:12" x14ac:dyDescent="0.25">
      <c r="B43" s="6"/>
    </row>
    <row r="44" spans="2:12" x14ac:dyDescent="0.25">
      <c r="B44" s="6"/>
    </row>
    <row r="45" spans="2:12" x14ac:dyDescent="0.25">
      <c r="B45" s="6"/>
    </row>
    <row r="46" spans="2:12" x14ac:dyDescent="0.25">
      <c r="B46" s="6"/>
    </row>
    <row r="47" spans="2:12" x14ac:dyDescent="0.25">
      <c r="B47" s="6"/>
    </row>
    <row r="48" spans="2:12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58"/>
  <sheetViews>
    <sheetView showGridLines="0" zoomScale="85" zoomScaleNormal="85" workbookViewId="0">
      <pane xSplit="3" ySplit="6" topLeftCell="D25" activePane="bottomRight" state="frozen"/>
      <selection pane="topRight" activeCell="R20" sqref="R20:W20"/>
      <selection pane="bottomLeft" activeCell="R20" sqref="R20:W20"/>
      <selection pane="bottomRight" activeCell="M1" sqref="M1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5.7109375" customWidth="1"/>
    <col min="11" max="11" width="10.140625" customWidth="1"/>
    <col min="12" max="12" width="11.28515625" hidden="1" customWidth="1"/>
  </cols>
  <sheetData>
    <row r="2" spans="2:39" ht="23.25" x14ac:dyDescent="0.35">
      <c r="B2" s="15" t="s">
        <v>29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20" t="s">
        <v>2</v>
      </c>
      <c r="C5" s="21"/>
      <c r="D5" s="21"/>
      <c r="E5" s="21"/>
      <c r="F5" s="21"/>
      <c r="G5" s="21"/>
      <c r="H5" s="21"/>
      <c r="I5" s="21"/>
      <c r="J5" s="22"/>
    </row>
    <row r="6" spans="2:39" x14ac:dyDescent="0.25">
      <c r="B6" s="23" t="s">
        <v>3</v>
      </c>
      <c r="C6" s="23" t="s">
        <v>4</v>
      </c>
      <c r="D6" s="23" t="s">
        <v>5</v>
      </c>
      <c r="E6" s="24" t="s">
        <v>6</v>
      </c>
      <c r="F6" s="24" t="s">
        <v>7</v>
      </c>
      <c r="G6" s="24" t="s">
        <v>8</v>
      </c>
      <c r="H6" s="25" t="s">
        <v>9</v>
      </c>
      <c r="I6" s="26"/>
      <c r="J6" s="27" t="s">
        <v>10</v>
      </c>
    </row>
    <row r="7" spans="2:39" s="5" customFormat="1" x14ac:dyDescent="0.25">
      <c r="B7" s="12" t="s">
        <v>11</v>
      </c>
      <c r="C7" s="65" t="s">
        <v>31</v>
      </c>
      <c r="D7" s="132" t="s">
        <v>32</v>
      </c>
      <c r="E7" s="132" t="s">
        <v>32</v>
      </c>
      <c r="F7" s="132" t="s">
        <v>32</v>
      </c>
      <c r="G7" s="132"/>
      <c r="H7" s="132" t="s">
        <v>32</v>
      </c>
      <c r="I7" s="131"/>
      <c r="J7" s="13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3"/>
      <c r="C8" s="41" t="s">
        <v>129</v>
      </c>
      <c r="D8" s="127">
        <f>ROUND('DEQ Staff Costs'!I4/6,0)</f>
        <v>2977</v>
      </c>
      <c r="E8" s="127">
        <f>ROUND('DEQ Staff Costs'!I14/6,0)</f>
        <v>3066</v>
      </c>
      <c r="F8" s="127">
        <f>ROUND('DEQ Staff Costs'!I24/6,0)</f>
        <v>2453</v>
      </c>
      <c r="G8" s="127">
        <f>ROUND('DEQ Staff Costs'!I34/6,0)</f>
        <v>2044</v>
      </c>
      <c r="H8" s="127">
        <f>ROUND('DEQ Staff Costs'!I44/6,0)</f>
        <v>2044</v>
      </c>
      <c r="I8" s="50"/>
      <c r="J8" s="42">
        <f>SUM(D8:H8)</f>
        <v>12584</v>
      </c>
    </row>
    <row r="9" spans="2:39" x14ac:dyDescent="0.25">
      <c r="B9" s="13"/>
      <c r="C9" s="41" t="s">
        <v>130</v>
      </c>
      <c r="D9" s="127">
        <f>ROUND('DEQ Staff Costs'!I5/6,0)</f>
        <v>2751</v>
      </c>
      <c r="E9" s="127">
        <f>ROUND('DEQ Staff Costs'!I15/6,0)</f>
        <v>2833</v>
      </c>
      <c r="F9" s="127">
        <f>ROUND('DEQ Staff Costs'!I25/6,0)</f>
        <v>2267</v>
      </c>
      <c r="G9" s="127">
        <f>ROUND('DEQ Staff Costs'!I35/6,0)</f>
        <v>1889</v>
      </c>
      <c r="H9" s="127">
        <f>ROUND('DEQ Staff Costs'!I45/6,0)</f>
        <v>1889</v>
      </c>
      <c r="I9" s="44"/>
      <c r="J9" s="42">
        <f t="shared" ref="J9:J11" si="0">SUM(D9:H9)</f>
        <v>11629</v>
      </c>
    </row>
    <row r="10" spans="2:39" x14ac:dyDescent="0.25">
      <c r="B10" s="13"/>
      <c r="C10" s="41" t="s">
        <v>131</v>
      </c>
      <c r="D10" s="127">
        <f>ROUND('DEQ Staff Costs'!I6/6,0)</f>
        <v>1760</v>
      </c>
      <c r="E10" s="127">
        <f>ROUND('DEQ Staff Costs'!I16/6,0)</f>
        <v>1813</v>
      </c>
      <c r="F10" s="127">
        <f>ROUND('DEQ Staff Costs'!I26/6,0)</f>
        <v>1450</v>
      </c>
      <c r="G10" s="127">
        <f>ROUND('DEQ Staff Costs'!I36/6,0)</f>
        <v>1209</v>
      </c>
      <c r="H10" s="127">
        <f>ROUND('DEQ Staff Costs'!I46/6,0)</f>
        <v>974</v>
      </c>
      <c r="I10" s="44"/>
      <c r="J10" s="42">
        <f t="shared" si="0"/>
        <v>7206</v>
      </c>
    </row>
    <row r="11" spans="2:39" x14ac:dyDescent="0.25">
      <c r="B11" s="13"/>
      <c r="C11" s="41" t="s">
        <v>132</v>
      </c>
      <c r="D11" s="127">
        <f>ROUND('DEQ Staff Costs'!I7/6,0)</f>
        <v>1350</v>
      </c>
      <c r="E11" s="127">
        <f>ROUND('DEQ Staff Costs'!I17/6,0)</f>
        <v>1390</v>
      </c>
      <c r="F11" s="127">
        <f>ROUND('DEQ Staff Costs'!I27/6,0)</f>
        <v>1390</v>
      </c>
      <c r="G11" s="127">
        <f>ROUND('DEQ Staff Costs'!I37/6,0)</f>
        <v>1390</v>
      </c>
      <c r="H11" s="127">
        <f>ROUND('DEQ Staff Costs'!I47/6,0)</f>
        <v>834</v>
      </c>
      <c r="I11" s="44"/>
      <c r="J11" s="42">
        <f t="shared" si="0"/>
        <v>6354</v>
      </c>
    </row>
    <row r="12" spans="2:39" x14ac:dyDescent="0.25">
      <c r="B12" s="13"/>
      <c r="C12" s="45" t="s">
        <v>12</v>
      </c>
      <c r="D12" s="133">
        <f>SUM(D8:D11)</f>
        <v>8838</v>
      </c>
      <c r="E12" s="133">
        <f t="shared" ref="E12:I12" si="1">SUM(E8:E11)</f>
        <v>9102</v>
      </c>
      <c r="F12" s="133">
        <f t="shared" si="1"/>
        <v>7560</v>
      </c>
      <c r="G12" s="133">
        <f t="shared" si="1"/>
        <v>6532</v>
      </c>
      <c r="H12" s="133">
        <f t="shared" si="1"/>
        <v>5741</v>
      </c>
      <c r="I12" s="131">
        <f t="shared" si="1"/>
        <v>0</v>
      </c>
      <c r="J12" s="133">
        <f>SUM(D12:H12)</f>
        <v>37773</v>
      </c>
    </row>
    <row r="13" spans="2:39" x14ac:dyDescent="0.25">
      <c r="B13" s="13"/>
      <c r="C13" s="48" t="s">
        <v>33</v>
      </c>
      <c r="D13" s="115" t="s">
        <v>32</v>
      </c>
      <c r="E13" s="132"/>
      <c r="F13" s="132"/>
      <c r="G13" s="132"/>
      <c r="H13" s="132"/>
      <c r="I13" s="131"/>
      <c r="J13" s="134" t="s">
        <v>32</v>
      </c>
    </row>
    <row r="14" spans="2:39" x14ac:dyDescent="0.25">
      <c r="B14" s="13"/>
      <c r="C14" s="126" t="s">
        <v>127</v>
      </c>
      <c r="D14" s="42">
        <f>ROUND(D12*0.47,0)</f>
        <v>4154</v>
      </c>
      <c r="E14" s="42">
        <f t="shared" ref="E14:H14" si="2">ROUND(E12*0.47,0)</f>
        <v>4278</v>
      </c>
      <c r="F14" s="42">
        <f t="shared" si="2"/>
        <v>3553</v>
      </c>
      <c r="G14" s="42">
        <f t="shared" si="2"/>
        <v>3070</v>
      </c>
      <c r="H14" s="42">
        <f t="shared" si="2"/>
        <v>2698</v>
      </c>
      <c r="I14" s="131"/>
      <c r="J14" s="115">
        <f>SUM(D14:H14)</f>
        <v>17753</v>
      </c>
    </row>
    <row r="15" spans="2:39" x14ac:dyDescent="0.25">
      <c r="B15" s="13"/>
      <c r="C15" s="45" t="s">
        <v>13</v>
      </c>
      <c r="D15" s="133">
        <f t="shared" ref="D15:I15" si="3">SUM(D14:D14)</f>
        <v>4154</v>
      </c>
      <c r="E15" s="133">
        <f t="shared" si="3"/>
        <v>4278</v>
      </c>
      <c r="F15" s="133">
        <f t="shared" si="3"/>
        <v>3553</v>
      </c>
      <c r="G15" s="133">
        <f t="shared" si="3"/>
        <v>3070</v>
      </c>
      <c r="H15" s="133">
        <f t="shared" si="3"/>
        <v>2698</v>
      </c>
      <c r="I15" s="131">
        <f t="shared" si="3"/>
        <v>0</v>
      </c>
      <c r="J15" s="133">
        <f>SUM(D15:H15)</f>
        <v>17753</v>
      </c>
    </row>
    <row r="16" spans="2:39" x14ac:dyDescent="0.25">
      <c r="B16" s="13"/>
      <c r="C16" s="48" t="s">
        <v>34</v>
      </c>
      <c r="D16" s="115" t="s">
        <v>32</v>
      </c>
      <c r="E16" s="132"/>
      <c r="F16" s="132"/>
      <c r="G16" s="132"/>
      <c r="H16" s="132"/>
      <c r="I16" s="131"/>
      <c r="J16" s="134" t="s">
        <v>32</v>
      </c>
    </row>
    <row r="17" spans="2:10" x14ac:dyDescent="0.25">
      <c r="B17" s="13"/>
      <c r="C17" s="41"/>
      <c r="D17" s="115">
        <v>0</v>
      </c>
      <c r="E17" s="115">
        <v>0</v>
      </c>
      <c r="F17" s="115">
        <v>0</v>
      </c>
      <c r="G17" s="115">
        <v>0</v>
      </c>
      <c r="H17" s="115">
        <v>0</v>
      </c>
      <c r="I17" s="131"/>
      <c r="J17" s="115">
        <f>SUM(D17:H17)</f>
        <v>0</v>
      </c>
    </row>
    <row r="18" spans="2:10" x14ac:dyDescent="0.25">
      <c r="B18" s="13"/>
      <c r="C18" s="45" t="s">
        <v>14</v>
      </c>
      <c r="D18" s="133">
        <f>SUM(D17)</f>
        <v>0</v>
      </c>
      <c r="E18" s="133">
        <f t="shared" ref="E18:H18" si="4">SUM(E17)</f>
        <v>0</v>
      </c>
      <c r="F18" s="133">
        <f t="shared" si="4"/>
        <v>0</v>
      </c>
      <c r="G18" s="133">
        <f t="shared" si="4"/>
        <v>0</v>
      </c>
      <c r="H18" s="133">
        <f t="shared" si="4"/>
        <v>0</v>
      </c>
      <c r="I18" s="131"/>
      <c r="J18" s="133">
        <f>SUM(D18:H18)</f>
        <v>0</v>
      </c>
    </row>
    <row r="19" spans="2:10" x14ac:dyDescent="0.25">
      <c r="B19" s="13"/>
      <c r="C19" s="48" t="s">
        <v>35</v>
      </c>
      <c r="D19" s="115"/>
      <c r="E19" s="132"/>
      <c r="F19" s="132"/>
      <c r="G19" s="132"/>
      <c r="H19" s="132"/>
      <c r="I19" s="131"/>
      <c r="J19" s="115" t="s">
        <v>20</v>
      </c>
    </row>
    <row r="20" spans="2:10" x14ac:dyDescent="0.25">
      <c r="B20" s="13"/>
      <c r="C20" s="41"/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44"/>
      <c r="J20" s="42">
        <f>SUM(D20:I20)</f>
        <v>0</v>
      </c>
    </row>
    <row r="21" spans="2:10" x14ac:dyDescent="0.25">
      <c r="B21" s="13"/>
      <c r="C21" s="45" t="s">
        <v>15</v>
      </c>
      <c r="D21" s="135">
        <f>SUM(D20:D20)</f>
        <v>0</v>
      </c>
      <c r="E21" s="135">
        <f>SUM(E20:E20)</f>
        <v>0</v>
      </c>
      <c r="F21" s="135">
        <f>SUM(F20:F20)</f>
        <v>0</v>
      </c>
      <c r="G21" s="135">
        <f>SUM(G20:G20)</f>
        <v>0</v>
      </c>
      <c r="H21" s="135">
        <f>SUM(H20:H20)</f>
        <v>0</v>
      </c>
      <c r="I21" s="131"/>
      <c r="J21" s="133">
        <f t="shared" ref="J21:J37" si="5">SUM(D21:H21)</f>
        <v>0</v>
      </c>
    </row>
    <row r="22" spans="2:10" x14ac:dyDescent="0.25">
      <c r="B22" s="13"/>
      <c r="C22" s="48" t="s">
        <v>37</v>
      </c>
      <c r="D22" s="115" t="s">
        <v>32</v>
      </c>
      <c r="E22" s="132"/>
      <c r="F22" s="132"/>
      <c r="G22" s="132"/>
      <c r="H22" s="132"/>
      <c r="I22" s="131"/>
      <c r="J22" s="115"/>
    </row>
    <row r="23" spans="2:10" x14ac:dyDescent="0.25">
      <c r="B23" s="13"/>
      <c r="C23" s="41"/>
      <c r="D23" s="127">
        <v>0</v>
      </c>
      <c r="E23" s="127">
        <v>0</v>
      </c>
      <c r="F23" s="127">
        <v>0</v>
      </c>
      <c r="G23" s="127">
        <v>0</v>
      </c>
      <c r="H23" s="127">
        <v>0</v>
      </c>
      <c r="I23" s="131"/>
      <c r="J23" s="115">
        <f>SUM(D23:H23)</f>
        <v>0</v>
      </c>
    </row>
    <row r="24" spans="2:10" x14ac:dyDescent="0.25">
      <c r="B24" s="13"/>
      <c r="C24" s="45" t="s">
        <v>16</v>
      </c>
      <c r="D24" s="133">
        <f>SUM(D23:D23)</f>
        <v>0</v>
      </c>
      <c r="E24" s="133">
        <f>SUM(E23:E23)</f>
        <v>0</v>
      </c>
      <c r="F24" s="133">
        <f>SUM(F23:F23)</f>
        <v>0</v>
      </c>
      <c r="G24" s="133">
        <f>SUM(G23:G23)</f>
        <v>0</v>
      </c>
      <c r="H24" s="133">
        <f>SUM(H23:H23)</f>
        <v>0</v>
      </c>
      <c r="I24" s="131"/>
      <c r="J24" s="133">
        <f t="shared" si="5"/>
        <v>0</v>
      </c>
    </row>
    <row r="25" spans="2:10" x14ac:dyDescent="0.25">
      <c r="B25" s="13"/>
      <c r="C25" s="48" t="s">
        <v>38</v>
      </c>
      <c r="D25" s="115" t="s">
        <v>32</v>
      </c>
      <c r="E25" s="132"/>
      <c r="F25" s="132"/>
      <c r="G25" s="132"/>
      <c r="H25" s="132"/>
      <c r="I25" s="131"/>
      <c r="J25" s="115"/>
    </row>
    <row r="26" spans="2:10" x14ac:dyDescent="0.25">
      <c r="B26" s="13"/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31"/>
      <c r="J26" s="115">
        <f>SUM(D26:H26)</f>
        <v>0</v>
      </c>
    </row>
    <row r="27" spans="2:10" x14ac:dyDescent="0.25">
      <c r="B27" s="13"/>
      <c r="C27" s="45" t="s">
        <v>17</v>
      </c>
      <c r="D27" s="133">
        <f>SUM(D26:D26)</f>
        <v>0</v>
      </c>
      <c r="E27" s="133">
        <f>SUM(E26:E26)</f>
        <v>0</v>
      </c>
      <c r="F27" s="133">
        <f>SUM(F26:F26)</f>
        <v>0</v>
      </c>
      <c r="G27" s="133">
        <f>SUM(G26:G26)</f>
        <v>0</v>
      </c>
      <c r="H27" s="133">
        <f>SUM(H26:H26)</f>
        <v>0</v>
      </c>
      <c r="I27" s="131"/>
      <c r="J27" s="133">
        <f t="shared" si="5"/>
        <v>0</v>
      </c>
    </row>
    <row r="28" spans="2:10" x14ac:dyDescent="0.25">
      <c r="B28" s="13"/>
      <c r="C28" s="48" t="s">
        <v>39</v>
      </c>
      <c r="D28" s="115" t="s">
        <v>32</v>
      </c>
      <c r="E28" s="132"/>
      <c r="F28" s="132"/>
      <c r="G28" s="132"/>
      <c r="H28" s="132"/>
      <c r="I28" s="131"/>
      <c r="J28" s="115"/>
    </row>
    <row r="29" spans="2:10" x14ac:dyDescent="0.25">
      <c r="B29" s="13"/>
      <c r="C29" s="41" t="s">
        <v>140</v>
      </c>
      <c r="D29" s="129"/>
      <c r="E29" s="130"/>
      <c r="F29" s="115"/>
      <c r="G29" s="115"/>
      <c r="H29" s="115"/>
      <c r="I29" s="131">
        <v>375000</v>
      </c>
      <c r="J29" s="115"/>
    </row>
    <row r="30" spans="2:10" x14ac:dyDescent="0.25">
      <c r="B30" s="13"/>
      <c r="C30" s="41" t="s">
        <v>122</v>
      </c>
      <c r="D30" s="129"/>
      <c r="E30" s="130"/>
      <c r="F30" s="115"/>
      <c r="G30" s="115"/>
      <c r="H30" s="115"/>
      <c r="I30" s="131"/>
      <c r="J30" s="115"/>
    </row>
    <row r="31" spans="2:10" ht="30" x14ac:dyDescent="0.25">
      <c r="B31" s="13"/>
      <c r="C31" s="68" t="s">
        <v>115</v>
      </c>
      <c r="D31" s="115">
        <v>49279</v>
      </c>
      <c r="E31" s="115">
        <v>49279</v>
      </c>
      <c r="F31" s="115">
        <v>0</v>
      </c>
      <c r="G31" s="115">
        <v>0</v>
      </c>
      <c r="H31" s="115">
        <v>0</v>
      </c>
      <c r="I31" s="131">
        <v>781250</v>
      </c>
      <c r="J31" s="115">
        <f>SUM(D31:H31)</f>
        <v>98558</v>
      </c>
    </row>
    <row r="32" spans="2:10" ht="30" x14ac:dyDescent="0.25">
      <c r="B32" s="13"/>
      <c r="C32" s="68" t="s">
        <v>116</v>
      </c>
      <c r="D32" s="115">
        <v>24639</v>
      </c>
      <c r="E32" s="115">
        <v>24639</v>
      </c>
      <c r="F32" s="115">
        <v>0</v>
      </c>
      <c r="G32" s="115">
        <v>0</v>
      </c>
      <c r="H32" s="115">
        <v>0</v>
      </c>
      <c r="I32" s="131">
        <v>2083335</v>
      </c>
      <c r="J32" s="115">
        <f t="shared" ref="J32:J35" si="6">SUM(D32:H32)</f>
        <v>49278</v>
      </c>
    </row>
    <row r="33" spans="2:12" ht="45" x14ac:dyDescent="0.25">
      <c r="B33" s="13"/>
      <c r="C33" s="116" t="s">
        <v>64</v>
      </c>
      <c r="D33" s="115">
        <v>500000</v>
      </c>
      <c r="E33" s="115">
        <v>500000</v>
      </c>
      <c r="F33" s="115">
        <v>0</v>
      </c>
      <c r="G33" s="115">
        <v>0</v>
      </c>
      <c r="H33" s="115">
        <v>0</v>
      </c>
      <c r="I33" s="131"/>
      <c r="J33" s="115">
        <f t="shared" si="6"/>
        <v>1000000</v>
      </c>
    </row>
    <row r="34" spans="2:12" ht="45" x14ac:dyDescent="0.25">
      <c r="B34" s="13"/>
      <c r="C34" s="41" t="s">
        <v>48</v>
      </c>
      <c r="D34" s="115">
        <v>41082</v>
      </c>
      <c r="E34" s="115">
        <v>41082</v>
      </c>
      <c r="F34" s="115">
        <v>0</v>
      </c>
      <c r="G34" s="115">
        <v>0</v>
      </c>
      <c r="H34" s="115">
        <v>0</v>
      </c>
      <c r="I34" s="131"/>
      <c r="J34" s="115">
        <f t="shared" si="6"/>
        <v>82164</v>
      </c>
    </row>
    <row r="35" spans="2:12" ht="30" x14ac:dyDescent="0.25">
      <c r="B35" s="13"/>
      <c r="C35" s="41" t="s">
        <v>56</v>
      </c>
      <c r="D35" s="115">
        <v>9885000</v>
      </c>
      <c r="E35" s="115">
        <v>9885000</v>
      </c>
      <c r="F35" s="115">
        <v>0</v>
      </c>
      <c r="G35" s="115">
        <v>0</v>
      </c>
      <c r="H35" s="115">
        <v>0</v>
      </c>
      <c r="I35" s="131"/>
      <c r="J35" s="115">
        <f t="shared" si="6"/>
        <v>19770000</v>
      </c>
    </row>
    <row r="36" spans="2:12" x14ac:dyDescent="0.25">
      <c r="B36" s="14"/>
      <c r="C36" s="45" t="s">
        <v>18</v>
      </c>
      <c r="D36" s="133">
        <f>SUM(D31:D35)</f>
        <v>10500000</v>
      </c>
      <c r="E36" s="133">
        <f t="shared" ref="E36:H36" si="7">SUM(E31:E35)</f>
        <v>10500000</v>
      </c>
      <c r="F36" s="133">
        <f t="shared" si="7"/>
        <v>0</v>
      </c>
      <c r="G36" s="133">
        <f t="shared" si="7"/>
        <v>0</v>
      </c>
      <c r="H36" s="133">
        <f t="shared" si="7"/>
        <v>0</v>
      </c>
      <c r="I36" s="131"/>
      <c r="J36" s="133">
        <f t="shared" si="5"/>
        <v>21000000</v>
      </c>
      <c r="L36" s="161">
        <v>21000000</v>
      </c>
    </row>
    <row r="37" spans="2:12" x14ac:dyDescent="0.25">
      <c r="B37" s="14"/>
      <c r="C37" s="45" t="s">
        <v>19</v>
      </c>
      <c r="D37" s="133">
        <f>SUM(D36,D27,D24,D21,D18,D15,D12)</f>
        <v>10512992</v>
      </c>
      <c r="E37" s="133">
        <f>SUM(E36,E27,E24,E21,E18,E15,E12)</f>
        <v>10513380</v>
      </c>
      <c r="F37" s="133">
        <f>SUM(F36,F27,F24,F21,F18,F15,F12)</f>
        <v>11113</v>
      </c>
      <c r="G37" s="133">
        <f>SUM(G36,G27,G24,G21,G18,G15,G12)</f>
        <v>9602</v>
      </c>
      <c r="H37" s="133">
        <f>SUM(H36,H27,H24,H21,H18,H15,H12)</f>
        <v>8439</v>
      </c>
      <c r="I37" s="131"/>
      <c r="J37" s="133">
        <f t="shared" si="5"/>
        <v>21055526</v>
      </c>
    </row>
    <row r="38" spans="2:12" x14ac:dyDescent="0.25">
      <c r="B38" s="6"/>
      <c r="C38" s="44"/>
      <c r="D38" s="131"/>
      <c r="E38" s="131"/>
      <c r="F38" s="131"/>
      <c r="G38" s="131"/>
      <c r="H38" s="131"/>
      <c r="I38" s="131"/>
      <c r="J38" s="131" t="s">
        <v>20</v>
      </c>
    </row>
    <row r="39" spans="2:12" x14ac:dyDescent="0.25">
      <c r="B39" s="12" t="s">
        <v>40</v>
      </c>
      <c r="C39" s="70" t="s">
        <v>40</v>
      </c>
      <c r="D39" s="134"/>
      <c r="E39" s="134"/>
      <c r="F39" s="134"/>
      <c r="G39" s="134"/>
      <c r="H39" s="134"/>
      <c r="I39" s="131"/>
      <c r="J39" s="134" t="s">
        <v>20</v>
      </c>
    </row>
    <row r="40" spans="2:12" ht="30" x14ac:dyDescent="0.25">
      <c r="B40" s="13"/>
      <c r="C40" s="128" t="s">
        <v>128</v>
      </c>
      <c r="D40" s="42">
        <f>ROUND(D12*0.385,0)</f>
        <v>3403</v>
      </c>
      <c r="E40" s="42">
        <f t="shared" ref="E40:H40" si="8">ROUND(E12*0.385,0)</f>
        <v>3504</v>
      </c>
      <c r="F40" s="42">
        <f>ROUNDDOWN(F12*0.385,0)</f>
        <v>2910</v>
      </c>
      <c r="G40" s="42">
        <f t="shared" si="8"/>
        <v>2515</v>
      </c>
      <c r="H40" s="42">
        <f t="shared" si="8"/>
        <v>2210</v>
      </c>
      <c r="I40" s="131"/>
      <c r="J40" s="115">
        <f>SUM(D40:H40)</f>
        <v>14542</v>
      </c>
    </row>
    <row r="41" spans="2:12" x14ac:dyDescent="0.25">
      <c r="B41" s="14"/>
      <c r="C41" s="45" t="s">
        <v>21</v>
      </c>
      <c r="D41" s="133">
        <f>SUM(D40:D40)</f>
        <v>3403</v>
      </c>
      <c r="E41" s="133">
        <f>SUM(E40:E40)</f>
        <v>3504</v>
      </c>
      <c r="F41" s="133">
        <f>SUM(F40:F40)</f>
        <v>2910</v>
      </c>
      <c r="G41" s="133">
        <f>SUM(G40:G40)</f>
        <v>2515</v>
      </c>
      <c r="H41" s="133">
        <f>SUM(H40:H40)</f>
        <v>2210</v>
      </c>
      <c r="I41" s="131"/>
      <c r="J41" s="133">
        <f t="shared" ref="J41" si="9">SUM(D41:H41)</f>
        <v>14542</v>
      </c>
    </row>
    <row r="42" spans="2:12" ht="15.75" thickBot="1" x14ac:dyDescent="0.3">
      <c r="B42" s="6"/>
      <c r="C42" s="44"/>
      <c r="D42" s="131"/>
      <c r="E42" s="131"/>
      <c r="F42" s="131"/>
      <c r="G42" s="131"/>
      <c r="H42" s="131"/>
      <c r="I42" s="131"/>
      <c r="J42" s="131" t="s">
        <v>20</v>
      </c>
    </row>
    <row r="43" spans="2:12" s="1" customFormat="1" ht="30.75" thickBot="1" x14ac:dyDescent="0.3">
      <c r="B43" s="10" t="s">
        <v>22</v>
      </c>
      <c r="C43" s="51"/>
      <c r="D43" s="136">
        <f t="shared" ref="D43:J43" si="10">SUM(D41,D37)</f>
        <v>10516395</v>
      </c>
      <c r="E43" s="136">
        <f t="shared" si="10"/>
        <v>10516884</v>
      </c>
      <c r="F43" s="136">
        <f t="shared" si="10"/>
        <v>14023</v>
      </c>
      <c r="G43" s="136">
        <f t="shared" si="10"/>
        <v>12117</v>
      </c>
      <c r="H43" s="136">
        <f t="shared" si="10"/>
        <v>10649</v>
      </c>
      <c r="I43" s="131">
        <f t="shared" si="10"/>
        <v>0</v>
      </c>
      <c r="J43" s="136">
        <f t="shared" si="10"/>
        <v>21070068</v>
      </c>
    </row>
    <row r="44" spans="2:12" x14ac:dyDescent="0.25">
      <c r="B44" s="6"/>
    </row>
    <row r="45" spans="2:12" x14ac:dyDescent="0.25">
      <c r="B45" s="6"/>
    </row>
    <row r="46" spans="2:12" x14ac:dyDescent="0.25">
      <c r="B46" s="6"/>
    </row>
    <row r="47" spans="2:12" x14ac:dyDescent="0.25">
      <c r="B47" s="6"/>
    </row>
    <row r="48" spans="2:12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</sheetData>
  <pageMargins left="0.7" right="0.7" top="0.75" bottom="0.75" header="0.3" footer="0.3"/>
  <pageSetup orientation="portrait" r:id="rId1"/>
  <ignoredErrors>
    <ignoredError sqref="J31:J32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7958E-A540-430A-9456-E6D8FF62D3ED}">
  <sheetPr>
    <tabColor theme="7" tint="0.59999389629810485"/>
  </sheetPr>
  <dimension ref="B2:AM73"/>
  <sheetViews>
    <sheetView tabSelected="1" topLeftCell="A15" workbookViewId="0">
      <selection activeCell="K22" sqref="K22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2.7109375" bestFit="1" customWidth="1"/>
    <col min="12" max="12" width="11.85546875" bestFit="1" customWidth="1"/>
  </cols>
  <sheetData>
    <row r="2" spans="2:39" ht="23.25" x14ac:dyDescent="0.35">
      <c r="B2" s="15" t="s">
        <v>29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20" t="s">
        <v>2</v>
      </c>
      <c r="C5" s="21"/>
      <c r="D5" s="21"/>
      <c r="E5" s="21"/>
      <c r="F5" s="21"/>
      <c r="G5" s="21"/>
      <c r="H5" s="21"/>
      <c r="I5" s="21"/>
      <c r="J5" s="22"/>
    </row>
    <row r="6" spans="2:39" x14ac:dyDescent="0.25">
      <c r="B6" s="23" t="s">
        <v>3</v>
      </c>
      <c r="C6" s="23" t="s">
        <v>4</v>
      </c>
      <c r="D6" s="23" t="s">
        <v>5</v>
      </c>
      <c r="E6" s="24" t="s">
        <v>6</v>
      </c>
      <c r="F6" s="24" t="s">
        <v>7</v>
      </c>
      <c r="G6" s="24" t="s">
        <v>8</v>
      </c>
      <c r="H6" s="25" t="s">
        <v>9</v>
      </c>
      <c r="I6" s="26"/>
      <c r="J6" s="27" t="s">
        <v>10</v>
      </c>
    </row>
    <row r="7" spans="2:39" s="5" customFormat="1" x14ac:dyDescent="0.25">
      <c r="B7" s="117" t="s">
        <v>11</v>
      </c>
      <c r="C7" s="65" t="s">
        <v>31</v>
      </c>
      <c r="D7" s="132" t="s">
        <v>32</v>
      </c>
      <c r="E7" s="132" t="s">
        <v>32</v>
      </c>
      <c r="F7" s="132" t="s">
        <v>32</v>
      </c>
      <c r="G7" s="132"/>
      <c r="H7" s="132" t="s">
        <v>32</v>
      </c>
      <c r="I7" s="131"/>
      <c r="J7" s="13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7"/>
      <c r="C8" s="41" t="s">
        <v>129</v>
      </c>
      <c r="D8" s="127">
        <f>'Project 4a VPA'!D8+'Project 4b VPA'!D8+'Project 4c VPA'!D8</f>
        <v>8931</v>
      </c>
      <c r="E8" s="127">
        <f>'Project 4a VPA'!E8+'Project 4b VPA'!E8+'Project 4c VPA'!E8</f>
        <v>9198</v>
      </c>
      <c r="F8" s="127">
        <f>'Project 4a VPA'!F8+'Project 4b VPA'!F8+'Project 4c VPA'!F8</f>
        <v>7359</v>
      </c>
      <c r="G8" s="127">
        <f>'Project 4a VPA'!G8+'Project 4b VPA'!G8+'Project 4c VPA'!G8</f>
        <v>6132</v>
      </c>
      <c r="H8" s="127">
        <f>'Project 4a VPA'!H8+'Project 4b VPA'!H8+'Project 4c VPA'!H8</f>
        <v>6132</v>
      </c>
      <c r="I8" s="131"/>
      <c r="J8" s="134">
        <f>SUM(D8:H8)</f>
        <v>37752</v>
      </c>
      <c r="K8" s="193"/>
      <c r="L8" s="193"/>
      <c r="M8" s="193"/>
      <c r="N8" s="193"/>
      <c r="O8" s="193"/>
      <c r="P8" s="193"/>
    </row>
    <row r="9" spans="2:39" x14ac:dyDescent="0.25">
      <c r="B9" s="67"/>
      <c r="C9" s="41" t="s">
        <v>130</v>
      </c>
      <c r="D9" s="127">
        <f>'Project 4a VPA'!D9+'Project 4b VPA'!D9+'Project 4c VPA'!D9</f>
        <v>8253</v>
      </c>
      <c r="E9" s="127">
        <f>'Project 4a VPA'!E9+'Project 4b VPA'!E9+'Project 4c VPA'!E9</f>
        <v>8499</v>
      </c>
      <c r="F9" s="127">
        <f>'Project 4a VPA'!F9+'Project 4b VPA'!F9+'Project 4c VPA'!F9</f>
        <v>6801</v>
      </c>
      <c r="G9" s="127">
        <f>'Project 4a VPA'!G9+'Project 4b VPA'!G9+'Project 4c VPA'!G9</f>
        <v>5667</v>
      </c>
      <c r="H9" s="127">
        <f>'Project 4a VPA'!H9+'Project 4b VPA'!H9+'Project 4c VPA'!H9</f>
        <v>5667</v>
      </c>
      <c r="I9" s="131"/>
      <c r="J9" s="134">
        <f t="shared" ref="J9:J11" si="0">SUM(D9:H9)</f>
        <v>34887</v>
      </c>
    </row>
    <row r="10" spans="2:39" x14ac:dyDescent="0.25">
      <c r="B10" s="67"/>
      <c r="C10" s="41" t="s">
        <v>131</v>
      </c>
      <c r="D10" s="127">
        <f>'Project 4a VPA'!D10+'Project 4b VPA'!D10+'Project 4c VPA'!D10</f>
        <v>5280</v>
      </c>
      <c r="E10" s="127">
        <f>'Project 4a VPA'!E10+'Project 4b VPA'!E10+'Project 4c VPA'!E10</f>
        <v>5439</v>
      </c>
      <c r="F10" s="127">
        <f>'Project 4a VPA'!F10+'Project 4b VPA'!F10+'Project 4c VPA'!F10</f>
        <v>4350</v>
      </c>
      <c r="G10" s="127">
        <f>'Project 4a VPA'!G10+'Project 4b VPA'!G10+'Project 4c VPA'!G10</f>
        <v>3627</v>
      </c>
      <c r="H10" s="127">
        <f>'Project 4a VPA'!H10+'Project 4b VPA'!H10+'Project 4c VPA'!H10</f>
        <v>2922</v>
      </c>
      <c r="I10" s="131"/>
      <c r="J10" s="134">
        <f t="shared" si="0"/>
        <v>21618</v>
      </c>
    </row>
    <row r="11" spans="2:39" x14ac:dyDescent="0.25">
      <c r="B11" s="67"/>
      <c r="C11" s="41" t="s">
        <v>132</v>
      </c>
      <c r="D11" s="127">
        <f>'Project 4a VPA'!D11+'Project 4b VPA'!D11+'Project 4c VPA'!D11</f>
        <v>4050</v>
      </c>
      <c r="E11" s="127">
        <f>'Project 4a VPA'!E11+'Project 4b VPA'!E11+'Project 4c VPA'!E11</f>
        <v>4170</v>
      </c>
      <c r="F11" s="127">
        <f>'Project 4a VPA'!F11+'Project 4b VPA'!F11+'Project 4c VPA'!F11</f>
        <v>4170</v>
      </c>
      <c r="G11" s="127">
        <f>'Project 4a VPA'!G11+'Project 4b VPA'!G11+'Project 4c VPA'!G11</f>
        <v>4170</v>
      </c>
      <c r="H11" s="127">
        <f>'Project 4a VPA'!H11+'Project 4b VPA'!H11+'Project 4c VPA'!H11</f>
        <v>2502</v>
      </c>
      <c r="I11" s="131"/>
      <c r="J11" s="134">
        <f t="shared" si="0"/>
        <v>19062</v>
      </c>
    </row>
    <row r="12" spans="2:39" x14ac:dyDescent="0.25">
      <c r="B12" s="67"/>
      <c r="C12" s="45" t="s">
        <v>12</v>
      </c>
      <c r="D12" s="133">
        <f>SUM(D8:D11)</f>
        <v>26514</v>
      </c>
      <c r="E12" s="133">
        <f t="shared" ref="E12:J12" si="1">SUM(E8:E11)</f>
        <v>27306</v>
      </c>
      <c r="F12" s="133">
        <f t="shared" si="1"/>
        <v>22680</v>
      </c>
      <c r="G12" s="133">
        <f t="shared" si="1"/>
        <v>19596</v>
      </c>
      <c r="H12" s="133">
        <f t="shared" si="1"/>
        <v>17223</v>
      </c>
      <c r="I12" s="131">
        <f t="shared" si="1"/>
        <v>0</v>
      </c>
      <c r="J12" s="133">
        <f t="shared" si="1"/>
        <v>113319</v>
      </c>
      <c r="K12" s="193"/>
      <c r="L12" s="193"/>
    </row>
    <row r="13" spans="2:39" x14ac:dyDescent="0.25">
      <c r="B13" s="67"/>
      <c r="C13" s="48" t="s">
        <v>33</v>
      </c>
      <c r="D13" s="115" t="s">
        <v>32</v>
      </c>
      <c r="E13" s="132"/>
      <c r="F13" s="132"/>
      <c r="G13" s="132"/>
      <c r="H13" s="132"/>
      <c r="I13" s="131"/>
      <c r="J13" s="134" t="s">
        <v>32</v>
      </c>
    </row>
    <row r="14" spans="2:39" x14ac:dyDescent="0.25">
      <c r="B14" s="67"/>
      <c r="C14" s="126" t="s">
        <v>127</v>
      </c>
      <c r="D14" s="42">
        <f>ROUND(D12*0.47,0)</f>
        <v>12462</v>
      </c>
      <c r="E14" s="42">
        <f t="shared" ref="E14:G14" si="2">ROUND(E12*0.47,0)</f>
        <v>12834</v>
      </c>
      <c r="F14" s="42">
        <f>ROUNDDOWN(F12*0.47,0)</f>
        <v>10659</v>
      </c>
      <c r="G14" s="42">
        <f t="shared" si="2"/>
        <v>9210</v>
      </c>
      <c r="H14" s="42">
        <f>'Project 4a VPA'!H14+'Project 4b VPA'!H14+'Project 4c VPA'!H14</f>
        <v>8094</v>
      </c>
      <c r="I14" s="131"/>
      <c r="J14" s="115">
        <f>SUM(D14:H14)</f>
        <v>53259</v>
      </c>
    </row>
    <row r="15" spans="2:39" x14ac:dyDescent="0.25">
      <c r="B15" s="67"/>
      <c r="C15" s="45" t="s">
        <v>13</v>
      </c>
      <c r="D15" s="133">
        <f t="shared" ref="D15:J15" si="3">SUM(D14:D14)</f>
        <v>12462</v>
      </c>
      <c r="E15" s="133">
        <f t="shared" si="3"/>
        <v>12834</v>
      </c>
      <c r="F15" s="133">
        <f t="shared" si="3"/>
        <v>10659</v>
      </c>
      <c r="G15" s="133">
        <f t="shared" si="3"/>
        <v>9210</v>
      </c>
      <c r="H15" s="133">
        <f t="shared" si="3"/>
        <v>8094</v>
      </c>
      <c r="I15" s="131">
        <f t="shared" si="3"/>
        <v>0</v>
      </c>
      <c r="J15" s="133">
        <f t="shared" si="3"/>
        <v>53259</v>
      </c>
      <c r="K15" s="201"/>
    </row>
    <row r="16" spans="2:39" x14ac:dyDescent="0.25">
      <c r="B16" s="67"/>
      <c r="C16" s="48" t="s">
        <v>34</v>
      </c>
      <c r="D16" s="195"/>
      <c r="E16" s="195"/>
      <c r="F16" s="195"/>
      <c r="G16" s="195"/>
      <c r="H16" s="195"/>
      <c r="I16" s="195"/>
      <c r="J16" s="195"/>
    </row>
    <row r="17" spans="2:12" ht="60" x14ac:dyDescent="0.25">
      <c r="B17" s="67"/>
      <c r="C17" s="41" t="s">
        <v>167</v>
      </c>
      <c r="D17" s="115">
        <f>'Project 4a VPA'!D17+'Project 4b VPA'!D17+'Project 4c VPA'!D17</f>
        <v>1276</v>
      </c>
      <c r="E17" s="115">
        <f>'Project 4a VPA'!E17+'Project 4b VPA'!E17+'Project 4c VPA'!E17</f>
        <v>1276</v>
      </c>
      <c r="F17" s="115">
        <f>'Project 4a VPA'!F17+'Project 4b VPA'!F17+'Project 4c VPA'!F17</f>
        <v>1276</v>
      </c>
      <c r="G17" s="115">
        <f>'Project 4a VPA'!G17+'Project 4b VPA'!G17+'Project 4c VPA'!G17</f>
        <v>1276</v>
      </c>
      <c r="H17" s="115">
        <f>'Project 4a VPA'!H17+'Project 4b VPA'!H17+'Project 4c VPA'!H17</f>
        <v>1276</v>
      </c>
      <c r="I17" s="131">
        <v>1638</v>
      </c>
      <c r="J17" s="115">
        <f>SUM(D16:H17)</f>
        <v>6380</v>
      </c>
    </row>
    <row r="18" spans="2:12" x14ac:dyDescent="0.25">
      <c r="B18" s="67"/>
      <c r="C18" s="45" t="s">
        <v>14</v>
      </c>
      <c r="D18" s="133">
        <f>SUM(D17:D17)</f>
        <v>1276</v>
      </c>
      <c r="E18" s="133">
        <f>SUM(E17:E17)</f>
        <v>1276</v>
      </c>
      <c r="F18" s="133">
        <f>SUM(F17:F17)</f>
        <v>1276</v>
      </c>
      <c r="G18" s="133">
        <f>SUM(G17:G17)</f>
        <v>1276</v>
      </c>
      <c r="H18" s="133">
        <f>SUM(H17:H17)</f>
        <v>1276</v>
      </c>
      <c r="I18" s="131"/>
      <c r="J18" s="133">
        <f>SUM(D18:H18)</f>
        <v>6380</v>
      </c>
    </row>
    <row r="19" spans="2:12" x14ac:dyDescent="0.25">
      <c r="B19" s="67"/>
      <c r="C19" s="48" t="s">
        <v>35</v>
      </c>
      <c r="D19" s="42"/>
      <c r="E19" s="42"/>
      <c r="F19" s="42"/>
      <c r="G19" s="42"/>
      <c r="H19" s="42"/>
      <c r="I19" s="42"/>
      <c r="J19" s="42" t="s">
        <v>20</v>
      </c>
    </row>
    <row r="20" spans="2:12" x14ac:dyDescent="0.25">
      <c r="B20" s="67" t="s">
        <v>36</v>
      </c>
      <c r="C20" s="41"/>
      <c r="D20" s="127">
        <v>0</v>
      </c>
      <c r="E20" s="127">
        <v>0</v>
      </c>
      <c r="F20" s="127">
        <f>'Project 4a VPA'!F20+'Project 4b VPA'!F20+'Project 4c VPA'!F20</f>
        <v>0</v>
      </c>
      <c r="G20" s="127">
        <f>'Project 4a VPA'!G20+'Project 4b VPA'!G20+'Project 4c VPA'!G20</f>
        <v>0</v>
      </c>
      <c r="H20" s="127">
        <f>'Project 4a VPA'!H20+'Project 4b VPA'!H20+'Project 4c VPA'!H20</f>
        <v>0</v>
      </c>
      <c r="I20" s="44"/>
      <c r="J20" s="42">
        <f>SUM(D20:I20)</f>
        <v>0</v>
      </c>
    </row>
    <row r="21" spans="2:12" x14ac:dyDescent="0.25">
      <c r="B21" s="67"/>
      <c r="C21" s="45" t="s">
        <v>15</v>
      </c>
      <c r="D21" s="135">
        <f>SUM(D19:D20)</f>
        <v>0</v>
      </c>
      <c r="E21" s="135">
        <f>SUM(E19:E20)</f>
        <v>0</v>
      </c>
      <c r="F21" s="135">
        <f>SUM(F19:F20)</f>
        <v>0</v>
      </c>
      <c r="G21" s="135">
        <f>SUM(G20:G20)</f>
        <v>0</v>
      </c>
      <c r="H21" s="135">
        <f>SUM(H20:H20)</f>
        <v>0</v>
      </c>
      <c r="I21" s="131"/>
      <c r="J21" s="133">
        <f t="shared" ref="J21:J52" si="4">SUM(D21:H21)</f>
        <v>0</v>
      </c>
    </row>
    <row r="22" spans="2:12" x14ac:dyDescent="0.25">
      <c r="B22" s="67"/>
      <c r="C22" s="48" t="s">
        <v>37</v>
      </c>
      <c r="D22" s="115"/>
      <c r="E22" s="132"/>
      <c r="F22" s="132"/>
      <c r="G22" s="132"/>
      <c r="H22" s="132"/>
      <c r="I22" s="131"/>
      <c r="J22" s="115"/>
    </row>
    <row r="23" spans="2:12" x14ac:dyDescent="0.25">
      <c r="B23" s="67"/>
      <c r="C23" s="41"/>
      <c r="D23" s="127">
        <v>0</v>
      </c>
      <c r="E23" s="127">
        <v>0</v>
      </c>
      <c r="F23" s="127">
        <f>'Project 4a VPA'!F23+'Project 4b VPA'!F23+'Project 4c VPA'!F23</f>
        <v>0</v>
      </c>
      <c r="G23" s="127">
        <f>'Project 4a VPA'!G23+'Project 4b VPA'!G23+'Project 4c VPA'!G23</f>
        <v>0</v>
      </c>
      <c r="H23" s="127">
        <f>'Project 4a VPA'!H23+'Project 4b VPA'!H23+'Project 4c VPA'!H23</f>
        <v>0</v>
      </c>
      <c r="I23" s="44"/>
      <c r="J23" s="42">
        <f>SUM(D23:I23)</f>
        <v>0</v>
      </c>
    </row>
    <row r="24" spans="2:12" x14ac:dyDescent="0.25">
      <c r="B24" s="67"/>
      <c r="C24" s="45" t="s">
        <v>16</v>
      </c>
      <c r="D24" s="133">
        <f>SUM(D23:D23)</f>
        <v>0</v>
      </c>
      <c r="E24" s="133">
        <f>SUM(E23:E23)</f>
        <v>0</v>
      </c>
      <c r="F24" s="133">
        <f>SUM(F23:F23)</f>
        <v>0</v>
      </c>
      <c r="G24" s="133">
        <f>SUM(G23:G23)</f>
        <v>0</v>
      </c>
      <c r="H24" s="133">
        <f>SUM(H23:H23)</f>
        <v>0</v>
      </c>
      <c r="I24" s="131"/>
      <c r="J24" s="133">
        <f t="shared" si="4"/>
        <v>0</v>
      </c>
    </row>
    <row r="25" spans="2:12" x14ac:dyDescent="0.25">
      <c r="B25" s="67"/>
      <c r="C25" s="48" t="s">
        <v>38</v>
      </c>
      <c r="D25" s="115"/>
      <c r="E25" s="132"/>
      <c r="F25" s="132"/>
      <c r="G25" s="132"/>
      <c r="H25" s="132"/>
      <c r="I25" s="131"/>
      <c r="J25" s="115"/>
    </row>
    <row r="26" spans="2:12" x14ac:dyDescent="0.25">
      <c r="B26" s="67"/>
      <c r="C26" s="41"/>
      <c r="D26" s="127">
        <v>0</v>
      </c>
      <c r="E26" s="127">
        <v>0</v>
      </c>
      <c r="F26" s="127">
        <f>'Project 4a VPA'!F26+'Project 4b VPA'!F26+'Project 4c VPA'!F26</f>
        <v>0</v>
      </c>
      <c r="G26" s="127">
        <f>'Project 4a VPA'!G26+'Project 4b VPA'!G26+'Project 4c VPA'!G26</f>
        <v>0</v>
      </c>
      <c r="H26" s="127">
        <f>'Project 4a VPA'!H26+'Project 4b VPA'!H26+'Project 4c VPA'!H26</f>
        <v>0</v>
      </c>
      <c r="I26" s="44"/>
      <c r="J26" s="42">
        <f>SUM(D26:I26)</f>
        <v>0</v>
      </c>
    </row>
    <row r="27" spans="2:12" x14ac:dyDescent="0.25">
      <c r="B27" s="67"/>
      <c r="C27" s="45" t="s">
        <v>17</v>
      </c>
      <c r="D27" s="133">
        <f>SUM(D26:D26)</f>
        <v>0</v>
      </c>
      <c r="E27" s="133">
        <f>SUM(E26:E26)</f>
        <v>0</v>
      </c>
      <c r="F27" s="133">
        <f>SUM(F26:F26)</f>
        <v>0</v>
      </c>
      <c r="G27" s="133">
        <f>SUM(G26:G26)</f>
        <v>0</v>
      </c>
      <c r="H27" s="133">
        <f>SUM(H26:H26)</f>
        <v>0</v>
      </c>
      <c r="I27" s="131"/>
      <c r="J27" s="133">
        <f t="shared" si="4"/>
        <v>0</v>
      </c>
      <c r="K27" s="19"/>
      <c r="L27" s="19"/>
    </row>
    <row r="28" spans="2:12" x14ac:dyDescent="0.25">
      <c r="B28" s="67"/>
      <c r="C28" s="48" t="s">
        <v>39</v>
      </c>
      <c r="D28" s="115" t="s">
        <v>32</v>
      </c>
      <c r="E28" s="132"/>
      <c r="F28" s="132"/>
      <c r="G28" s="132"/>
      <c r="H28" s="132"/>
      <c r="I28" s="131"/>
      <c r="J28" s="115"/>
    </row>
    <row r="29" spans="2:12" x14ac:dyDescent="0.25">
      <c r="B29" s="67"/>
      <c r="C29" s="41" t="s">
        <v>135</v>
      </c>
      <c r="D29" s="115"/>
      <c r="E29" s="115"/>
      <c r="F29" s="115"/>
      <c r="G29" s="115"/>
      <c r="H29" s="115"/>
      <c r="I29" s="131">
        <v>375000</v>
      </c>
      <c r="J29" s="115"/>
    </row>
    <row r="30" spans="2:12" x14ac:dyDescent="0.25">
      <c r="B30" s="67"/>
      <c r="C30" s="118" t="s">
        <v>159</v>
      </c>
      <c r="D30" s="115"/>
      <c r="E30" s="115"/>
      <c r="F30" s="115"/>
      <c r="G30" s="115"/>
      <c r="H30" s="115"/>
      <c r="I30" s="131"/>
      <c r="J30" s="115"/>
    </row>
    <row r="31" spans="2:12" x14ac:dyDescent="0.25">
      <c r="B31" s="67"/>
      <c r="C31" s="192" t="s">
        <v>65</v>
      </c>
      <c r="D31" s="115">
        <f>'Project 4a VPA'!D31+'Project 4b VPA'!D30+'Project 4c VPA'!D30</f>
        <v>1000000</v>
      </c>
      <c r="E31" s="115">
        <f>'Project 4a VPA'!E31+'Project 4b VPA'!E30+'Project 4c VPA'!E30</f>
        <v>4000000</v>
      </c>
      <c r="F31" s="115">
        <f>'Project 4a VPA'!F31</f>
        <v>5000000</v>
      </c>
      <c r="G31" s="115">
        <f>'Project 4a VPA'!G31</f>
        <v>0</v>
      </c>
      <c r="H31" s="115">
        <f>'Project 4a VPA'!H31</f>
        <v>0</v>
      </c>
      <c r="I31" s="131"/>
      <c r="J31" s="42">
        <f>SUM(D31:I31)</f>
        <v>10000000</v>
      </c>
    </row>
    <row r="32" spans="2:12" x14ac:dyDescent="0.25">
      <c r="B32" s="67"/>
      <c r="C32" s="192" t="s">
        <v>41</v>
      </c>
      <c r="D32" s="115">
        <f>'Project 4a VPA'!D32+'Project 4b VPA'!D30+'Project 4c VPA'!D30</f>
        <v>500000</v>
      </c>
      <c r="E32" s="115">
        <f>'Project 4a VPA'!E32+'Project 4b VPA'!E30+'Project 4c VPA'!E30</f>
        <v>2000000</v>
      </c>
      <c r="F32" s="115">
        <f>'Project 4a VPA'!F32</f>
        <v>2250000</v>
      </c>
      <c r="G32" s="115">
        <f>'Project 4a VPA'!G32</f>
        <v>0</v>
      </c>
      <c r="H32" s="115">
        <f>'Project 4a VPA'!H32</f>
        <v>0</v>
      </c>
      <c r="I32" s="131"/>
      <c r="J32" s="42">
        <f t="shared" ref="J32:J50" si="5">SUM(D32:I32)</f>
        <v>4750000</v>
      </c>
    </row>
    <row r="33" spans="2:10" x14ac:dyDescent="0.25">
      <c r="B33" s="67"/>
      <c r="C33" s="192" t="s">
        <v>68</v>
      </c>
      <c r="D33" s="115">
        <f>'Project 4a VPA'!D30+'Project 4b VPA'!D31+'Project 4c VPA'!D30</f>
        <v>0</v>
      </c>
      <c r="E33" s="115">
        <f>'Project 4a VPA'!E30+'Project 4b VPA'!E31+'Project 4c VPA'!E30</f>
        <v>2269400</v>
      </c>
      <c r="F33" s="115">
        <f>'Project 4b VPA'!F31</f>
        <v>5673500</v>
      </c>
      <c r="G33" s="115">
        <f>'Project 4b VPA'!G31</f>
        <v>0</v>
      </c>
      <c r="H33" s="115">
        <f>'Project 4b VPA'!H31</f>
        <v>0</v>
      </c>
      <c r="I33" s="131"/>
      <c r="J33" s="42">
        <f t="shared" si="5"/>
        <v>7942900</v>
      </c>
    </row>
    <row r="34" spans="2:10" x14ac:dyDescent="0.25">
      <c r="B34" s="67"/>
      <c r="C34" s="192" t="s">
        <v>55</v>
      </c>
      <c r="D34" s="115">
        <f>'Project 4a VPA'!D30+'Project 4b VPA'!D30+'Project 4c VPA'!D31</f>
        <v>289800</v>
      </c>
      <c r="E34" s="115">
        <f>'Project 4a VPA'!E30+'Project 4b VPA'!E30+'Project 4c VPA'!E31</f>
        <v>1490400</v>
      </c>
      <c r="F34" s="115">
        <f>'Project 4c VPA'!F31</f>
        <v>1117800</v>
      </c>
      <c r="G34" s="115">
        <f>'Project 4c VPA'!G31</f>
        <v>0</v>
      </c>
      <c r="H34" s="115">
        <f>'Project 4c VPA'!H31</f>
        <v>0</v>
      </c>
      <c r="I34" s="131"/>
      <c r="J34" s="42">
        <f t="shared" si="5"/>
        <v>2898000</v>
      </c>
    </row>
    <row r="35" spans="2:10" x14ac:dyDescent="0.25">
      <c r="B35" s="67"/>
      <c r="C35" s="192" t="s">
        <v>73</v>
      </c>
      <c r="D35" s="115">
        <f>'Project 4a VPA'!D30+'Project 4b VPA'!D30+'Project 4c VPA'!D32</f>
        <v>2520000</v>
      </c>
      <c r="E35" s="115">
        <f>'Project 4a VPA'!E30+'Project 4b VPA'!E30+'Project 4c VPA'!E32</f>
        <v>10800000</v>
      </c>
      <c r="F35" s="115">
        <f>'Project 4c VPA'!F32</f>
        <v>11880000</v>
      </c>
      <c r="G35" s="115">
        <f>'Project 4c VPA'!G32</f>
        <v>0</v>
      </c>
      <c r="H35" s="115">
        <f>'Project 4c VPA'!H32</f>
        <v>0</v>
      </c>
      <c r="I35" s="131"/>
      <c r="J35" s="42">
        <f t="shared" si="5"/>
        <v>25200000</v>
      </c>
    </row>
    <row r="36" spans="2:10" x14ac:dyDescent="0.25">
      <c r="B36" s="67"/>
      <c r="C36" s="192" t="s">
        <v>53</v>
      </c>
      <c r="D36" s="115">
        <f>'Project 4a VPA'!D30+'Project 4b VPA'!D30+'Project 4c VPA'!D33</f>
        <v>204000</v>
      </c>
      <c r="E36" s="115">
        <f>'Project 4a VPA'!E30+'Project 4b VPA'!E30+'Project 4c VPA'!E33</f>
        <v>864000</v>
      </c>
      <c r="F36" s="115">
        <f>'Project 4c VPA'!F33</f>
        <v>972000</v>
      </c>
      <c r="G36" s="115">
        <f>'Project 4c VPA'!G33</f>
        <v>0</v>
      </c>
      <c r="H36" s="115">
        <f>'Project 4c VPA'!H33</f>
        <v>0</v>
      </c>
      <c r="I36" s="131"/>
      <c r="J36" s="42">
        <f t="shared" si="5"/>
        <v>2040000</v>
      </c>
    </row>
    <row r="37" spans="2:10" ht="15" customHeight="1" x14ac:dyDescent="0.25">
      <c r="B37" s="67"/>
      <c r="C37" s="192" t="s">
        <v>52</v>
      </c>
      <c r="D37" s="115">
        <f>'Project 4a VPA'!D30+'Project 4b VPA'!D30+'Project 4c VPA'!D34</f>
        <v>880000</v>
      </c>
      <c r="E37" s="115">
        <f>'Project 4a VPA'!E30+'Project 4b VPA'!E30+'Project 4c VPA'!E34</f>
        <v>2640000</v>
      </c>
      <c r="F37" s="115">
        <f>'Project 4c VPA'!F34</f>
        <v>5280000</v>
      </c>
      <c r="G37" s="115">
        <f>'Project 4c VPA'!G34</f>
        <v>0</v>
      </c>
      <c r="H37" s="115">
        <f>'Project 4c VPA'!H34</f>
        <v>0</v>
      </c>
      <c r="I37" s="131"/>
      <c r="J37" s="42">
        <f t="shared" si="5"/>
        <v>8800000</v>
      </c>
    </row>
    <row r="38" spans="2:10" x14ac:dyDescent="0.25">
      <c r="B38" s="67"/>
      <c r="C38" s="192" t="s">
        <v>54</v>
      </c>
      <c r="D38" s="115">
        <f>'Project 4a VPA'!D30+'Project 4b VPA'!D30+'Project 4c VPA'!D35</f>
        <v>0</v>
      </c>
      <c r="E38" s="115">
        <f>'Project 4a VPA'!E30+'Project 4b VPA'!E30+'Project 4c VPA'!E35</f>
        <v>650000</v>
      </c>
      <c r="F38" s="115">
        <f>'Project 4c VPA'!F35</f>
        <v>1040000</v>
      </c>
      <c r="G38" s="115">
        <f>'Project 4c VPA'!G35</f>
        <v>0</v>
      </c>
      <c r="H38" s="115">
        <f>'Project 4c VPA'!H35</f>
        <v>0</v>
      </c>
      <c r="I38" s="131"/>
      <c r="J38" s="42">
        <f t="shared" si="5"/>
        <v>1690000</v>
      </c>
    </row>
    <row r="39" spans="2:10" x14ac:dyDescent="0.25">
      <c r="B39" s="67"/>
      <c r="C39" s="192" t="s">
        <v>49</v>
      </c>
      <c r="D39" s="115">
        <f>'Project 4a VPA'!D30+'Project 4b VPA'!D30+'Project 4c VPA'!D36</f>
        <v>0</v>
      </c>
      <c r="E39" s="115">
        <f>'Project 4c VPA'!E36</f>
        <v>495000</v>
      </c>
      <c r="F39" s="115">
        <f>'Project 4c VPA'!F36</f>
        <v>0</v>
      </c>
      <c r="G39" s="115">
        <f>'Project 4c VPA'!G36</f>
        <v>0</v>
      </c>
      <c r="H39" s="115">
        <f>'Project 4c VPA'!H36</f>
        <v>0</v>
      </c>
      <c r="I39" s="131"/>
      <c r="J39" s="42">
        <f t="shared" si="5"/>
        <v>495000</v>
      </c>
    </row>
    <row r="40" spans="2:10" x14ac:dyDescent="0.25">
      <c r="B40" s="67"/>
      <c r="C40" s="192" t="s">
        <v>50</v>
      </c>
      <c r="D40" s="115">
        <f>'Project 4a VPA'!D30+'Project 4b VPA'!D30+'Project 4c VPA'!D37</f>
        <v>0</v>
      </c>
      <c r="E40" s="115">
        <f>'Project 4c VPA'!E37</f>
        <v>1848000</v>
      </c>
      <c r="F40" s="115">
        <f>'Project 4c VPA'!F37</f>
        <v>0</v>
      </c>
      <c r="G40" s="115">
        <f>'Project 4c VPA'!G37</f>
        <v>0</v>
      </c>
      <c r="H40" s="115">
        <f>'Project 4c VPA'!H37</f>
        <v>0</v>
      </c>
      <c r="I40" s="131"/>
      <c r="J40" s="42">
        <f t="shared" si="5"/>
        <v>1848000</v>
      </c>
    </row>
    <row r="41" spans="2:10" x14ac:dyDescent="0.25">
      <c r="B41" s="67"/>
      <c r="C41" s="192" t="s">
        <v>51</v>
      </c>
      <c r="D41" s="115">
        <f>'Project 4a VPA'!D30+'Project 4b VPA'!D30+'Project 4c VPA'!D38</f>
        <v>0</v>
      </c>
      <c r="E41" s="115">
        <f>'Project 4c VPA'!E38</f>
        <v>528000</v>
      </c>
      <c r="F41" s="115">
        <f>'Project 4c VPA'!F38</f>
        <v>0</v>
      </c>
      <c r="G41" s="115">
        <f>'Project 4c VPA'!G38</f>
        <v>0</v>
      </c>
      <c r="H41" s="115">
        <f>'Project 4c VPA'!H38</f>
        <v>0</v>
      </c>
      <c r="I41" s="131"/>
      <c r="J41" s="42">
        <f t="shared" si="5"/>
        <v>528000</v>
      </c>
    </row>
    <row r="42" spans="2:10" x14ac:dyDescent="0.25">
      <c r="B42" s="67"/>
      <c r="C42" s="192" t="s">
        <v>42</v>
      </c>
      <c r="D42" s="115">
        <f>'Project 4a VPA'!D30+'Project 4b VPA'!D30+'Project 4c VPA'!D39</f>
        <v>430650</v>
      </c>
      <c r="E42" s="115">
        <f>'Project 4c VPA'!E39</f>
        <v>2153250</v>
      </c>
      <c r="F42" s="115">
        <f>'Project 4c VPA'!F39</f>
        <v>1722600</v>
      </c>
      <c r="G42" s="115">
        <f>'Project 4c VPA'!G39</f>
        <v>0</v>
      </c>
      <c r="H42" s="115">
        <f>'Project 4c VPA'!H39</f>
        <v>0</v>
      </c>
      <c r="I42" s="131"/>
      <c r="J42" s="42">
        <f t="shared" si="5"/>
        <v>4306500</v>
      </c>
    </row>
    <row r="43" spans="2:10" x14ac:dyDescent="0.25">
      <c r="B43" s="67"/>
      <c r="C43" s="192" t="s">
        <v>47</v>
      </c>
      <c r="D43" s="115">
        <f>'Project 4a VPA'!D30+'Project 4b VPA'!D30+'Project 4c VPA'!D40</f>
        <v>0</v>
      </c>
      <c r="E43" s="115">
        <f>'Project 4c VPA'!E40</f>
        <v>474000</v>
      </c>
      <c r="F43" s="115">
        <f>'Project 4c VPA'!F40</f>
        <v>185000</v>
      </c>
      <c r="G43" s="115">
        <f>'Project 4c VPA'!G40</f>
        <v>0</v>
      </c>
      <c r="H43" s="115">
        <f>'Project 4c VPA'!H40</f>
        <v>0</v>
      </c>
      <c r="I43" s="131"/>
      <c r="J43" s="42">
        <f t="shared" si="5"/>
        <v>659000</v>
      </c>
    </row>
    <row r="44" spans="2:10" x14ac:dyDescent="0.25">
      <c r="B44" s="67"/>
      <c r="C44" s="192" t="s">
        <v>43</v>
      </c>
      <c r="D44" s="115">
        <f>'Project 4a VPA'!D30+'Project 4b VPA'!D30+'Project 4c VPA'!D41</f>
        <v>100000</v>
      </c>
      <c r="E44" s="115">
        <f>'Project 4c VPA'!E41</f>
        <v>500000</v>
      </c>
      <c r="F44" s="115">
        <f>'Project 4c VPA'!F41</f>
        <v>400000</v>
      </c>
      <c r="G44" s="115">
        <f>'Project 4c VPA'!G41</f>
        <v>0</v>
      </c>
      <c r="H44" s="115">
        <f>'Project 4c VPA'!H41</f>
        <v>0</v>
      </c>
      <c r="I44" s="131"/>
      <c r="J44" s="42">
        <f t="shared" si="5"/>
        <v>1000000</v>
      </c>
    </row>
    <row r="45" spans="2:10" x14ac:dyDescent="0.25">
      <c r="B45" s="67"/>
      <c r="C45" s="118" t="s">
        <v>158</v>
      </c>
      <c r="D45" s="115"/>
      <c r="E45" s="115"/>
      <c r="F45" s="115"/>
      <c r="G45" s="127"/>
      <c r="H45" s="127"/>
      <c r="I45" s="131"/>
      <c r="J45" s="115"/>
    </row>
    <row r="46" spans="2:10" ht="30" x14ac:dyDescent="0.25">
      <c r="B46" s="67"/>
      <c r="C46" s="68" t="s">
        <v>70</v>
      </c>
      <c r="D46" s="115">
        <f>'Project 4a VPA'!D33+'Project 4b VPA'!D30+'Project 4c VPA'!D30</f>
        <v>1000000</v>
      </c>
      <c r="E46" s="115">
        <f>'Project 4a VPA'!E33+'Project 4b VPA'!E30+'Project 4c VPA'!E30</f>
        <v>3000000</v>
      </c>
      <c r="F46" s="115">
        <f>'Project 4a VPA'!F33</f>
        <v>2250000</v>
      </c>
      <c r="G46" s="115">
        <f>'Project 4a VPA'!G33</f>
        <v>0</v>
      </c>
      <c r="H46" s="115">
        <f>'Project 4a VPA'!H33</f>
        <v>0</v>
      </c>
      <c r="I46" s="131"/>
      <c r="J46" s="42">
        <f t="shared" si="5"/>
        <v>6250000</v>
      </c>
    </row>
    <row r="47" spans="2:10" x14ac:dyDescent="0.25">
      <c r="B47" s="67"/>
      <c r="C47" s="68" t="s">
        <v>66</v>
      </c>
      <c r="D47" s="115">
        <f>'Project 4a VPA'!D30+'Project 4b VPA'!D32+'Project 4c VPA'!D30</f>
        <v>0</v>
      </c>
      <c r="E47" s="115">
        <f>'Project 4b VPA'!E32</f>
        <v>1702050</v>
      </c>
      <c r="F47" s="115">
        <f>'Project 4b VPA'!F32</f>
        <v>702050</v>
      </c>
      <c r="G47" s="115">
        <f>'Project 4b VPA'!G32</f>
        <v>0</v>
      </c>
      <c r="H47" s="115">
        <f>'Project 4b VPA'!H32</f>
        <v>0</v>
      </c>
      <c r="I47" s="131"/>
      <c r="J47" s="42">
        <f t="shared" si="5"/>
        <v>2404100</v>
      </c>
    </row>
    <row r="48" spans="2:10" ht="30" x14ac:dyDescent="0.25">
      <c r="B48" s="67"/>
      <c r="C48" s="68" t="s">
        <v>72</v>
      </c>
      <c r="D48" s="115">
        <f>'Project 4a VPA'!D30+'Project 4b VPA'!D33+'Project 4c VPA'!D30</f>
        <v>0</v>
      </c>
      <c r="E48" s="115">
        <f>'Project 4b VPA'!E33</f>
        <v>600000</v>
      </c>
      <c r="F48" s="115">
        <f>'Project 4b VPA'!F33</f>
        <v>400000</v>
      </c>
      <c r="G48" s="115">
        <f>'Project 4b VPA'!G33</f>
        <v>0</v>
      </c>
      <c r="H48" s="115">
        <f>'Project 4b VPA'!H33</f>
        <v>0</v>
      </c>
      <c r="I48" s="131"/>
      <c r="J48" s="42">
        <f t="shared" si="5"/>
        <v>1000000</v>
      </c>
    </row>
    <row r="49" spans="2:12" x14ac:dyDescent="0.25">
      <c r="B49" s="67"/>
      <c r="C49" s="68" t="s">
        <v>69</v>
      </c>
      <c r="D49" s="115">
        <f>'Project 4a VPA'!D30+'Project 4b VPA'!D30+'Project 4c VPA'!D42</f>
        <v>0</v>
      </c>
      <c r="E49" s="115">
        <f>'Project 4c VPA'!E42</f>
        <v>355500</v>
      </c>
      <c r="F49" s="115">
        <f>'Project 4c VPA'!F42</f>
        <v>355500</v>
      </c>
      <c r="G49" s="115">
        <f>'Project 4c VPA'!G42</f>
        <v>0</v>
      </c>
      <c r="H49" s="115">
        <f>'Project 4c VPA'!H42</f>
        <v>0</v>
      </c>
      <c r="I49" s="131"/>
      <c r="J49" s="42">
        <f t="shared" si="5"/>
        <v>711000</v>
      </c>
    </row>
    <row r="50" spans="2:12" x14ac:dyDescent="0.25">
      <c r="B50" s="67"/>
      <c r="C50" s="68" t="s">
        <v>67</v>
      </c>
      <c r="D50" s="115">
        <f>'Project 4a VPA'!D30+'Project 4b VPA'!D30+'Project 4c VPA'!D43</f>
        <v>717750</v>
      </c>
      <c r="E50" s="115">
        <f>'Project 4c VPA'!E43</f>
        <v>3588750</v>
      </c>
      <c r="F50" s="115">
        <f>'Project 4c VPA'!F43</f>
        <v>2871000</v>
      </c>
      <c r="G50" s="115">
        <f>'Project 4c VPA'!G43</f>
        <v>0</v>
      </c>
      <c r="H50" s="115">
        <f>'Project 4c VPA'!H43</f>
        <v>0</v>
      </c>
      <c r="I50" s="131"/>
      <c r="J50" s="42">
        <f t="shared" si="5"/>
        <v>7177500</v>
      </c>
      <c r="L50" s="19"/>
    </row>
    <row r="51" spans="2:12" x14ac:dyDescent="0.25">
      <c r="B51" s="69"/>
      <c r="C51" s="45" t="s">
        <v>18</v>
      </c>
      <c r="D51" s="133">
        <f>SUM(D30:D50)</f>
        <v>7642200</v>
      </c>
      <c r="E51" s="133">
        <f>SUM(E31:E50)</f>
        <v>39958350</v>
      </c>
      <c r="F51" s="133">
        <f>SUM(F31:F50)</f>
        <v>42099450</v>
      </c>
      <c r="G51" s="133">
        <f>SUM(G31:G50)</f>
        <v>0</v>
      </c>
      <c r="H51" s="133">
        <f>SUM(H31:H50)</f>
        <v>0</v>
      </c>
      <c r="I51" s="131"/>
      <c r="J51" s="133">
        <f t="shared" si="4"/>
        <v>89700000</v>
      </c>
      <c r="K51" s="19"/>
      <c r="L51" s="19"/>
    </row>
    <row r="52" spans="2:12" x14ac:dyDescent="0.25">
      <c r="B52" s="69"/>
      <c r="C52" s="45" t="s">
        <v>19</v>
      </c>
      <c r="D52" s="133">
        <f>SUM(D51,D27,D24,D21,D18,D15,D12)</f>
        <v>7682452</v>
      </c>
      <c r="E52" s="133">
        <f>SUM(E51,E27,E24,E21,E18,E15,E12)</f>
        <v>39999766</v>
      </c>
      <c r="F52" s="133">
        <f>SUM(F51,F27,F24,F21,F18,F15,F12)</f>
        <v>42134065</v>
      </c>
      <c r="G52" s="133">
        <f>SUM(G51,G27,G24,G21,G18,G15,G12)</f>
        <v>30082</v>
      </c>
      <c r="H52" s="133">
        <f>SUM(H51,H27,H24,H21,H18,H15,H12)</f>
        <v>26593</v>
      </c>
      <c r="I52" s="131"/>
      <c r="J52" s="133">
        <f t="shared" si="4"/>
        <v>89872958</v>
      </c>
      <c r="K52" s="19"/>
      <c r="L52" s="19"/>
    </row>
    <row r="53" spans="2:12" x14ac:dyDescent="0.25">
      <c r="B53" s="54"/>
      <c r="C53" s="44"/>
      <c r="D53" s="131"/>
      <c r="E53" s="131"/>
      <c r="F53" s="131"/>
      <c r="G53" s="131"/>
      <c r="H53" s="131"/>
      <c r="I53" s="131"/>
      <c r="J53" s="131" t="s">
        <v>20</v>
      </c>
    </row>
    <row r="54" spans="2:12" x14ac:dyDescent="0.25">
      <c r="B54" s="117" t="s">
        <v>40</v>
      </c>
      <c r="C54" s="70" t="s">
        <v>40</v>
      </c>
      <c r="D54" s="134"/>
      <c r="E54" s="134"/>
      <c r="F54" s="134"/>
      <c r="G54" s="134"/>
      <c r="H54" s="134"/>
      <c r="I54" s="131"/>
      <c r="J54" s="134" t="s">
        <v>20</v>
      </c>
    </row>
    <row r="55" spans="2:12" ht="30" x14ac:dyDescent="0.25">
      <c r="B55" s="67"/>
      <c r="C55" s="128" t="s">
        <v>128</v>
      </c>
      <c r="D55" s="42">
        <f>'Project 4a VPA'!D38+'Project 4b VPA'!D38+'Project 4c VPA'!D48</f>
        <v>10209</v>
      </c>
      <c r="E55" s="42">
        <f>'Project 4a VPA'!E38+'Project 4b VPA'!E38+'Project 4c VPA'!E48</f>
        <v>10512</v>
      </c>
      <c r="F55" s="42">
        <f>ROUND(F12*0.385,0)</f>
        <v>8732</v>
      </c>
      <c r="G55" s="42">
        <f>'Project 4a VPA'!G38+'Project 4b VPA'!G38+'Project 4c VPA'!G48</f>
        <v>7545</v>
      </c>
      <c r="H55" s="42">
        <f>'Project 4a VPA'!H38+'Project 4b VPA'!H38+'Project 4c VPA'!H48</f>
        <v>6630</v>
      </c>
      <c r="I55" s="131"/>
      <c r="J55" s="115">
        <f>SUM(D55:H55)</f>
        <v>43628</v>
      </c>
    </row>
    <row r="56" spans="2:12" x14ac:dyDescent="0.25">
      <c r="B56" s="69"/>
      <c r="C56" s="45" t="s">
        <v>21</v>
      </c>
      <c r="D56" s="133">
        <f>SUM(D55:D55)</f>
        <v>10209</v>
      </c>
      <c r="E56" s="133">
        <f>SUM(E55:E55)</f>
        <v>10512</v>
      </c>
      <c r="F56" s="133">
        <f>SUM(F55:F55)</f>
        <v>8732</v>
      </c>
      <c r="G56" s="133">
        <f>SUM(G55:G55)</f>
        <v>7545</v>
      </c>
      <c r="H56" s="133">
        <f>SUM(H55:H55)</f>
        <v>6630</v>
      </c>
      <c r="I56" s="131"/>
      <c r="J56" s="133">
        <f t="shared" ref="J56" si="6">SUM(D56:H56)</f>
        <v>43628</v>
      </c>
      <c r="K56" s="197"/>
    </row>
    <row r="57" spans="2:12" ht="15.75" thickBot="1" x14ac:dyDescent="0.3">
      <c r="B57" s="54"/>
      <c r="C57" s="44"/>
      <c r="D57" s="196"/>
      <c r="E57" s="196"/>
      <c r="F57" s="196"/>
      <c r="G57" s="196"/>
      <c r="H57" s="196"/>
      <c r="I57" s="196"/>
      <c r="J57" s="196"/>
    </row>
    <row r="58" spans="2:12" s="1" customFormat="1" ht="30.75" thickBot="1" x14ac:dyDescent="0.3">
      <c r="B58" s="51" t="s">
        <v>22</v>
      </c>
      <c r="C58" s="51"/>
      <c r="D58" s="52">
        <f t="shared" ref="D58:J58" si="7">SUM(D56,D52)</f>
        <v>7692661</v>
      </c>
      <c r="E58" s="52">
        <f t="shared" si="7"/>
        <v>40010278</v>
      </c>
      <c r="F58" s="52">
        <f t="shared" si="7"/>
        <v>42142797</v>
      </c>
      <c r="G58" s="52">
        <f t="shared" si="7"/>
        <v>37627</v>
      </c>
      <c r="H58" s="52">
        <f t="shared" si="7"/>
        <v>33223</v>
      </c>
      <c r="I58" s="44">
        <f t="shared" si="7"/>
        <v>0</v>
      </c>
      <c r="J58" s="52">
        <f t="shared" si="7"/>
        <v>89916586</v>
      </c>
      <c r="K58" s="194"/>
      <c r="L58" s="194"/>
    </row>
    <row r="59" spans="2:12" x14ac:dyDescent="0.25">
      <c r="B59" s="6"/>
    </row>
    <row r="60" spans="2:12" x14ac:dyDescent="0.25">
      <c r="B60" s="6"/>
    </row>
    <row r="61" spans="2:12" x14ac:dyDescent="0.25">
      <c r="B61" s="6"/>
    </row>
    <row r="62" spans="2:12" x14ac:dyDescent="0.25">
      <c r="B62" s="6"/>
    </row>
    <row r="63" spans="2:12" x14ac:dyDescent="0.25">
      <c r="B63" s="6"/>
    </row>
    <row r="64" spans="2:12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864A1-7DFF-4311-84A3-956240523155}">
  <sheetPr>
    <tabColor theme="0" tint="-0.499984740745262"/>
  </sheetPr>
  <dimension ref="B2:AM56"/>
  <sheetViews>
    <sheetView showGridLines="0" zoomScale="85" zoomScaleNormal="85" workbookViewId="0">
      <pane xSplit="3" ySplit="6" topLeftCell="D23" activePane="bottomRight" state="frozen"/>
      <selection activeCell="G1" sqref="G1:G1048576"/>
      <selection pane="topRight" activeCell="G1" sqref="G1:G1048576"/>
      <selection pane="bottomLeft" activeCell="G1" sqref="G1:G1048576"/>
      <selection pane="bottomRight" activeCell="G1" sqref="G1:G1048576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hidden="1" customWidth="1"/>
    <col min="5" max="5" width="12.5703125" style="2" hidden="1" customWidth="1"/>
    <col min="6" max="7" width="12.42578125" hidden="1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15" t="s">
        <v>29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20" t="s">
        <v>2</v>
      </c>
      <c r="C5" s="21"/>
      <c r="D5" s="21"/>
      <c r="E5" s="21"/>
      <c r="F5" s="21"/>
      <c r="G5" s="21"/>
      <c r="H5" s="21"/>
      <c r="I5" s="21"/>
      <c r="J5" s="22"/>
    </row>
    <row r="6" spans="2:39" x14ac:dyDescent="0.25">
      <c r="B6" s="23" t="s">
        <v>3</v>
      </c>
      <c r="C6" s="23" t="s">
        <v>4</v>
      </c>
      <c r="D6" s="23" t="s">
        <v>5</v>
      </c>
      <c r="E6" s="24" t="s">
        <v>6</v>
      </c>
      <c r="F6" s="24" t="s">
        <v>7</v>
      </c>
      <c r="G6" s="24" t="s">
        <v>8</v>
      </c>
      <c r="H6" s="25" t="s">
        <v>9</v>
      </c>
      <c r="I6" s="26"/>
      <c r="J6" s="27" t="s">
        <v>10</v>
      </c>
    </row>
    <row r="7" spans="2:39" s="5" customFormat="1" x14ac:dyDescent="0.25">
      <c r="B7" s="117" t="s">
        <v>11</v>
      </c>
      <c r="C7" s="65" t="s">
        <v>31</v>
      </c>
      <c r="D7" s="132" t="s">
        <v>32</v>
      </c>
      <c r="E7" s="132" t="s">
        <v>32</v>
      </c>
      <c r="F7" s="132" t="s">
        <v>32</v>
      </c>
      <c r="G7" s="132"/>
      <c r="H7" s="132" t="s">
        <v>32</v>
      </c>
      <c r="I7" s="131"/>
      <c r="J7" s="13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7"/>
      <c r="C8" s="41" t="s">
        <v>129</v>
      </c>
      <c r="D8" s="127">
        <f>ROUND('DEQ Staff Costs'!I4/6,0)</f>
        <v>2977</v>
      </c>
      <c r="E8" s="127">
        <f>ROUND('DEQ Staff Costs'!I14/6,0)</f>
        <v>3066</v>
      </c>
      <c r="F8" s="127">
        <f>ROUND('DEQ Staff Costs'!I24/6,0)</f>
        <v>2453</v>
      </c>
      <c r="G8" s="127">
        <f>ROUND('DEQ Staff Costs'!I34/6,0)</f>
        <v>2044</v>
      </c>
      <c r="H8" s="127">
        <f>ROUND('DEQ Staff Costs'!I44/6,0)</f>
        <v>2044</v>
      </c>
      <c r="I8" s="131"/>
      <c r="J8" s="134">
        <f>SUM(D8:H8)</f>
        <v>12584</v>
      </c>
    </row>
    <row r="9" spans="2:39" x14ac:dyDescent="0.25">
      <c r="B9" s="67"/>
      <c r="C9" s="41" t="s">
        <v>130</v>
      </c>
      <c r="D9" s="127">
        <f>ROUND('DEQ Staff Costs'!I5/6,0)</f>
        <v>2751</v>
      </c>
      <c r="E9" s="127">
        <f>ROUND('DEQ Staff Costs'!I15/6,0)</f>
        <v>2833</v>
      </c>
      <c r="F9" s="127">
        <f>ROUND('DEQ Staff Costs'!I25/6,0)</f>
        <v>2267</v>
      </c>
      <c r="G9" s="127">
        <f>ROUND('DEQ Staff Costs'!I35/6,0)</f>
        <v>1889</v>
      </c>
      <c r="H9" s="127">
        <f>ROUND('DEQ Staff Costs'!I45/6,0)</f>
        <v>1889</v>
      </c>
      <c r="I9" s="131"/>
      <c r="J9" s="134">
        <f t="shared" ref="J9:J11" si="0">SUM(D9:H9)</f>
        <v>11629</v>
      </c>
    </row>
    <row r="10" spans="2:39" x14ac:dyDescent="0.25">
      <c r="B10" s="67"/>
      <c r="C10" s="41" t="s">
        <v>131</v>
      </c>
      <c r="D10" s="127">
        <f>ROUND('DEQ Staff Costs'!I6/6,0)</f>
        <v>1760</v>
      </c>
      <c r="E10" s="127">
        <f>ROUND('DEQ Staff Costs'!I16/6,0)</f>
        <v>1813</v>
      </c>
      <c r="F10" s="127">
        <f>ROUND('DEQ Staff Costs'!I26/6,0)</f>
        <v>1450</v>
      </c>
      <c r="G10" s="127">
        <f>ROUND('DEQ Staff Costs'!I36/6,0)</f>
        <v>1209</v>
      </c>
      <c r="H10" s="127">
        <f>ROUND('DEQ Staff Costs'!I46/6,0)</f>
        <v>974</v>
      </c>
      <c r="I10" s="131"/>
      <c r="J10" s="134">
        <f t="shared" si="0"/>
        <v>7206</v>
      </c>
    </row>
    <row r="11" spans="2:39" x14ac:dyDescent="0.25">
      <c r="B11" s="67"/>
      <c r="C11" s="41" t="s">
        <v>132</v>
      </c>
      <c r="D11" s="127">
        <f>ROUND('DEQ Staff Costs'!I7/6,0)</f>
        <v>1350</v>
      </c>
      <c r="E11" s="127">
        <f>ROUND('DEQ Staff Costs'!I17/6,0)</f>
        <v>1390</v>
      </c>
      <c r="F11" s="127">
        <f>ROUND('DEQ Staff Costs'!I27/6,0)</f>
        <v>1390</v>
      </c>
      <c r="G11" s="127">
        <f>ROUND('DEQ Staff Costs'!I37/6,0)</f>
        <v>1390</v>
      </c>
      <c r="H11" s="127">
        <f>ROUND('DEQ Staff Costs'!I47/6,0)</f>
        <v>834</v>
      </c>
      <c r="I11" s="131"/>
      <c r="J11" s="134">
        <f t="shared" si="0"/>
        <v>6354</v>
      </c>
    </row>
    <row r="12" spans="2:39" x14ac:dyDescent="0.25">
      <c r="B12" s="67"/>
      <c r="C12" s="45" t="s">
        <v>12</v>
      </c>
      <c r="D12" s="133">
        <f>SUM(D8:D11)</f>
        <v>8838</v>
      </c>
      <c r="E12" s="133">
        <f t="shared" ref="E12:J12" si="1">SUM(E8:E11)</f>
        <v>9102</v>
      </c>
      <c r="F12" s="133">
        <f t="shared" si="1"/>
        <v>7560</v>
      </c>
      <c r="G12" s="133">
        <f t="shared" si="1"/>
        <v>6532</v>
      </c>
      <c r="H12" s="133">
        <f t="shared" si="1"/>
        <v>5741</v>
      </c>
      <c r="I12" s="131">
        <f t="shared" si="1"/>
        <v>0</v>
      </c>
      <c r="J12" s="133">
        <f t="shared" si="1"/>
        <v>37773</v>
      </c>
    </row>
    <row r="13" spans="2:39" x14ac:dyDescent="0.25">
      <c r="B13" s="67"/>
      <c r="C13" s="48" t="s">
        <v>33</v>
      </c>
      <c r="D13" s="115" t="s">
        <v>32</v>
      </c>
      <c r="E13" s="132"/>
      <c r="F13" s="132"/>
      <c r="G13" s="132"/>
      <c r="H13" s="132"/>
      <c r="I13" s="131"/>
      <c r="J13" s="134" t="s">
        <v>32</v>
      </c>
    </row>
    <row r="14" spans="2:39" x14ac:dyDescent="0.25">
      <c r="B14" s="67"/>
      <c r="C14" s="126" t="s">
        <v>127</v>
      </c>
      <c r="D14" s="42">
        <f>ROUND(D12*0.47,0)</f>
        <v>4154</v>
      </c>
      <c r="E14" s="42">
        <f t="shared" ref="E14:H14" si="2">ROUND(E12*0.47,0)</f>
        <v>4278</v>
      </c>
      <c r="F14" s="42">
        <f t="shared" si="2"/>
        <v>3553</v>
      </c>
      <c r="G14" s="42">
        <f t="shared" si="2"/>
        <v>3070</v>
      </c>
      <c r="H14" s="42">
        <f t="shared" si="2"/>
        <v>2698</v>
      </c>
      <c r="I14" s="131"/>
      <c r="J14" s="115">
        <f>SUM(D14:H14)</f>
        <v>17753</v>
      </c>
    </row>
    <row r="15" spans="2:39" x14ac:dyDescent="0.25">
      <c r="B15" s="67"/>
      <c r="C15" s="45" t="s">
        <v>13</v>
      </c>
      <c r="D15" s="133">
        <f t="shared" ref="D15:J15" si="3">SUM(D14:D14)</f>
        <v>4154</v>
      </c>
      <c r="E15" s="133">
        <f t="shared" si="3"/>
        <v>4278</v>
      </c>
      <c r="F15" s="133">
        <f t="shared" si="3"/>
        <v>3553</v>
      </c>
      <c r="G15" s="133">
        <f t="shared" si="3"/>
        <v>3070</v>
      </c>
      <c r="H15" s="133">
        <f t="shared" si="3"/>
        <v>2698</v>
      </c>
      <c r="I15" s="131">
        <f t="shared" si="3"/>
        <v>0</v>
      </c>
      <c r="J15" s="133">
        <f t="shared" si="3"/>
        <v>17753</v>
      </c>
    </row>
    <row r="16" spans="2:39" x14ac:dyDescent="0.25">
      <c r="B16" s="67"/>
      <c r="C16" s="48" t="s">
        <v>34</v>
      </c>
      <c r="D16" s="115" t="s">
        <v>32</v>
      </c>
      <c r="E16" s="132"/>
      <c r="F16" s="132"/>
      <c r="G16" s="132"/>
      <c r="H16" s="132"/>
      <c r="I16" s="131"/>
      <c r="J16" s="134" t="s">
        <v>32</v>
      </c>
    </row>
    <row r="17" spans="2:10" ht="30" x14ac:dyDescent="0.25">
      <c r="B17" s="67"/>
      <c r="C17" s="41" t="s">
        <v>147</v>
      </c>
      <c r="D17" s="115">
        <v>426</v>
      </c>
      <c r="E17" s="115">
        <v>426</v>
      </c>
      <c r="F17" s="115">
        <v>426</v>
      </c>
      <c r="G17" s="115">
        <v>426</v>
      </c>
      <c r="H17" s="115">
        <v>426</v>
      </c>
      <c r="I17" s="131">
        <v>1638</v>
      </c>
      <c r="J17" s="115">
        <f>SUM(D16:H17)</f>
        <v>2130</v>
      </c>
    </row>
    <row r="18" spans="2:10" x14ac:dyDescent="0.25">
      <c r="B18" s="67"/>
      <c r="C18" s="45" t="s">
        <v>14</v>
      </c>
      <c r="D18" s="133">
        <f>SUM(D17:D17)</f>
        <v>426</v>
      </c>
      <c r="E18" s="133">
        <f>SUM(E17:E17)</f>
        <v>426</v>
      </c>
      <c r="F18" s="133">
        <f>SUM(F17:F17)</f>
        <v>426</v>
      </c>
      <c r="G18" s="133">
        <f>SUM(G17:G17)</f>
        <v>426</v>
      </c>
      <c r="H18" s="133">
        <f>SUM(H17:H17)</f>
        <v>426</v>
      </c>
      <c r="I18" s="131"/>
      <c r="J18" s="133">
        <f>SUM(D18:H18)</f>
        <v>2130</v>
      </c>
    </row>
    <row r="19" spans="2:10" x14ac:dyDescent="0.25">
      <c r="B19" s="67"/>
      <c r="C19" s="48" t="s">
        <v>35</v>
      </c>
      <c r="D19" s="42"/>
      <c r="E19" s="43"/>
      <c r="F19" s="43"/>
      <c r="G19" s="43"/>
      <c r="H19" s="43"/>
      <c r="I19" s="44"/>
      <c r="J19" s="42" t="s">
        <v>20</v>
      </c>
    </row>
    <row r="20" spans="2:10" x14ac:dyDescent="0.25">
      <c r="B20" s="67" t="s">
        <v>36</v>
      </c>
      <c r="C20" s="41"/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44"/>
      <c r="J20" s="42">
        <f>SUM(D20:I20)</f>
        <v>0</v>
      </c>
    </row>
    <row r="21" spans="2:10" x14ac:dyDescent="0.25">
      <c r="B21" s="67"/>
      <c r="C21" s="45" t="s">
        <v>15</v>
      </c>
      <c r="D21" s="135">
        <f>SUM(D19:D20)</f>
        <v>0</v>
      </c>
      <c r="E21" s="135">
        <f>SUM(E19:E20)</f>
        <v>0</v>
      </c>
      <c r="F21" s="135">
        <f>SUM(F19:F20)</f>
        <v>0</v>
      </c>
      <c r="G21" s="135">
        <f>SUM(G20:G20)</f>
        <v>0</v>
      </c>
      <c r="H21" s="135">
        <f>SUM(H20:H20)</f>
        <v>0</v>
      </c>
      <c r="I21" s="131"/>
      <c r="J21" s="133">
        <f t="shared" ref="J21:J35" si="4">SUM(D21:H21)</f>
        <v>0</v>
      </c>
    </row>
    <row r="22" spans="2:10" x14ac:dyDescent="0.25">
      <c r="B22" s="67"/>
      <c r="C22" s="48" t="s">
        <v>37</v>
      </c>
      <c r="D22" s="115">
        <v>0</v>
      </c>
      <c r="E22" s="132"/>
      <c r="F22" s="132"/>
      <c r="G22" s="132"/>
      <c r="H22" s="132"/>
      <c r="I22" s="131"/>
      <c r="J22" s="115"/>
    </row>
    <row r="23" spans="2:10" x14ac:dyDescent="0.25">
      <c r="B23" s="67"/>
      <c r="C23" s="41"/>
      <c r="D23" s="127">
        <v>0</v>
      </c>
      <c r="E23" s="127">
        <v>0</v>
      </c>
      <c r="F23" s="127">
        <v>0</v>
      </c>
      <c r="G23" s="127">
        <v>0</v>
      </c>
      <c r="H23" s="127">
        <v>0</v>
      </c>
      <c r="I23" s="44"/>
      <c r="J23" s="42">
        <f>SUM(D23:I23)</f>
        <v>0</v>
      </c>
    </row>
    <row r="24" spans="2:10" x14ac:dyDescent="0.25">
      <c r="B24" s="67"/>
      <c r="C24" s="45" t="s">
        <v>16</v>
      </c>
      <c r="D24" s="133">
        <f>SUM(D23:D23)</f>
        <v>0</v>
      </c>
      <c r="E24" s="133">
        <f>SUM(E23:E23)</f>
        <v>0</v>
      </c>
      <c r="F24" s="133">
        <f>SUM(F23:F23)</f>
        <v>0</v>
      </c>
      <c r="G24" s="133">
        <f>SUM(G23:G23)</f>
        <v>0</v>
      </c>
      <c r="H24" s="133">
        <f>SUM(H23:H23)</f>
        <v>0</v>
      </c>
      <c r="I24" s="131"/>
      <c r="J24" s="133">
        <f t="shared" si="4"/>
        <v>0</v>
      </c>
    </row>
    <row r="25" spans="2:10" x14ac:dyDescent="0.25">
      <c r="B25" s="67"/>
      <c r="C25" s="48" t="s">
        <v>38</v>
      </c>
      <c r="D25" s="115">
        <v>0</v>
      </c>
      <c r="E25" s="132"/>
      <c r="F25" s="132"/>
      <c r="G25" s="132"/>
      <c r="H25" s="132"/>
      <c r="I25" s="131"/>
      <c r="J25" s="115"/>
    </row>
    <row r="26" spans="2:10" x14ac:dyDescent="0.25">
      <c r="B26" s="67"/>
      <c r="C26" s="41"/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44"/>
      <c r="J26" s="42">
        <f>SUM(D26:I26)</f>
        <v>0</v>
      </c>
    </row>
    <row r="27" spans="2:10" x14ac:dyDescent="0.25">
      <c r="B27" s="67"/>
      <c r="C27" s="45" t="s">
        <v>17</v>
      </c>
      <c r="D27" s="133">
        <f>SUM(D26:D26)</f>
        <v>0</v>
      </c>
      <c r="E27" s="133">
        <f>SUM(E26:E26)</f>
        <v>0</v>
      </c>
      <c r="F27" s="133">
        <f>SUM(F26:F26)</f>
        <v>0</v>
      </c>
      <c r="G27" s="133">
        <f>SUM(G26:G26)</f>
        <v>0</v>
      </c>
      <c r="H27" s="133">
        <f>SUM(H26:H26)</f>
        <v>0</v>
      </c>
      <c r="I27" s="131"/>
      <c r="J27" s="133">
        <f t="shared" si="4"/>
        <v>0</v>
      </c>
    </row>
    <row r="28" spans="2:10" x14ac:dyDescent="0.25">
      <c r="B28" s="67"/>
      <c r="C28" s="48" t="s">
        <v>39</v>
      </c>
      <c r="D28" s="115" t="s">
        <v>32</v>
      </c>
      <c r="E28" s="132"/>
      <c r="F28" s="132"/>
      <c r="G28" s="132"/>
      <c r="H28" s="132"/>
      <c r="I28" s="131"/>
      <c r="J28" s="115"/>
    </row>
    <row r="29" spans="2:10" x14ac:dyDescent="0.25">
      <c r="B29" s="67"/>
      <c r="C29" s="41" t="s">
        <v>135</v>
      </c>
      <c r="D29" s="115"/>
      <c r="E29" s="115"/>
      <c r="F29" s="115"/>
      <c r="G29" s="115"/>
      <c r="H29" s="115"/>
      <c r="I29" s="131">
        <v>375000</v>
      </c>
      <c r="J29" s="115"/>
    </row>
    <row r="30" spans="2:10" x14ac:dyDescent="0.25">
      <c r="B30" s="67"/>
      <c r="C30" s="41" t="s">
        <v>123</v>
      </c>
      <c r="D30" s="115"/>
      <c r="E30" s="115"/>
      <c r="F30" s="115"/>
      <c r="G30" s="115"/>
      <c r="H30" s="115"/>
      <c r="I30" s="131"/>
      <c r="J30" s="115"/>
    </row>
    <row r="31" spans="2:10" x14ac:dyDescent="0.25">
      <c r="B31" s="67"/>
      <c r="C31" s="118" t="s">
        <v>65</v>
      </c>
      <c r="D31" s="115">
        <v>1000000</v>
      </c>
      <c r="E31" s="115">
        <v>4000000</v>
      </c>
      <c r="F31" s="115">
        <v>5000000</v>
      </c>
      <c r="G31" s="127">
        <v>0</v>
      </c>
      <c r="H31" s="127">
        <v>0</v>
      </c>
      <c r="I31" s="131"/>
      <c r="J31" s="115">
        <f>SUM(D31:F31)</f>
        <v>10000000</v>
      </c>
    </row>
    <row r="32" spans="2:10" x14ac:dyDescent="0.25">
      <c r="B32" s="67"/>
      <c r="C32" s="118" t="s">
        <v>41</v>
      </c>
      <c r="D32" s="115">
        <v>500000</v>
      </c>
      <c r="E32" s="115">
        <v>2000000</v>
      </c>
      <c r="F32" s="115">
        <v>2250000</v>
      </c>
      <c r="G32" s="127">
        <v>0</v>
      </c>
      <c r="H32" s="127">
        <v>0</v>
      </c>
      <c r="I32" s="131"/>
      <c r="J32" s="115">
        <f>SUM(D32:F32)</f>
        <v>4750000</v>
      </c>
    </row>
    <row r="33" spans="2:10" x14ac:dyDescent="0.25">
      <c r="B33" s="67"/>
      <c r="C33" s="41" t="s">
        <v>70</v>
      </c>
      <c r="D33" s="115">
        <v>1000000</v>
      </c>
      <c r="E33" s="115">
        <v>3000000</v>
      </c>
      <c r="F33" s="115">
        <v>2250000</v>
      </c>
      <c r="G33" s="127">
        <v>0</v>
      </c>
      <c r="H33" s="127">
        <v>0</v>
      </c>
      <c r="I33" s="131"/>
      <c r="J33" s="115">
        <f>SUM(D33:F33)</f>
        <v>6250000</v>
      </c>
    </row>
    <row r="34" spans="2:10" x14ac:dyDescent="0.25">
      <c r="B34" s="69"/>
      <c r="C34" s="45" t="s">
        <v>18</v>
      </c>
      <c r="D34" s="133">
        <f>SUM(D29:D33)</f>
        <v>2500000</v>
      </c>
      <c r="E34" s="133">
        <f>SUM(E29:E33)</f>
        <v>9000000</v>
      </c>
      <c r="F34" s="133">
        <f>SUM(F29:F33)</f>
        <v>9500000</v>
      </c>
      <c r="G34" s="133">
        <f>SUM(G29:G33)</f>
        <v>0</v>
      </c>
      <c r="H34" s="133">
        <f>SUM(H29:H33)</f>
        <v>0</v>
      </c>
      <c r="I34" s="131"/>
      <c r="J34" s="133">
        <f t="shared" si="4"/>
        <v>21000000</v>
      </c>
    </row>
    <row r="35" spans="2:10" x14ac:dyDescent="0.25">
      <c r="B35" s="69"/>
      <c r="C35" s="45" t="s">
        <v>19</v>
      </c>
      <c r="D35" s="133">
        <f>SUM(D34,D27,D24,D21,D18,D15,D12)</f>
        <v>2513418</v>
      </c>
      <c r="E35" s="133">
        <f>SUM(E34,E27,E24,E21,E18,E15,E12)</f>
        <v>9013806</v>
      </c>
      <c r="F35" s="133">
        <f>SUM(F34,F27,F24,F21,F18,F15,F12)</f>
        <v>9511539</v>
      </c>
      <c r="G35" s="133">
        <f>SUM(G34,G27,G24,G21,G18,G15,G12)</f>
        <v>10028</v>
      </c>
      <c r="H35" s="133">
        <f>SUM(H34,H27,H24,H21,H18,H15,H12)</f>
        <v>8865</v>
      </c>
      <c r="I35" s="131"/>
      <c r="J35" s="133">
        <f t="shared" si="4"/>
        <v>21057656</v>
      </c>
    </row>
    <row r="36" spans="2:10" x14ac:dyDescent="0.25">
      <c r="B36" s="54"/>
      <c r="C36" s="44"/>
      <c r="D36" s="131"/>
      <c r="E36" s="131"/>
      <c r="F36" s="131"/>
      <c r="G36" s="131"/>
      <c r="H36" s="131"/>
      <c r="I36" s="131"/>
      <c r="J36" s="131" t="s">
        <v>20</v>
      </c>
    </row>
    <row r="37" spans="2:10" x14ac:dyDescent="0.25">
      <c r="B37" s="117" t="s">
        <v>40</v>
      </c>
      <c r="C37" s="70" t="s">
        <v>40</v>
      </c>
      <c r="D37" s="134"/>
      <c r="E37" s="134"/>
      <c r="F37" s="134"/>
      <c r="G37" s="134"/>
      <c r="H37" s="134"/>
      <c r="I37" s="131"/>
      <c r="J37" s="134" t="s">
        <v>20</v>
      </c>
    </row>
    <row r="38" spans="2:10" ht="30" x14ac:dyDescent="0.25">
      <c r="B38" s="67"/>
      <c r="C38" s="128" t="s">
        <v>128</v>
      </c>
      <c r="D38" s="42">
        <f>ROUND(D12*0.385,0)</f>
        <v>3403</v>
      </c>
      <c r="E38" s="42">
        <f>ROUND(E12*0.385,0)</f>
        <v>3504</v>
      </c>
      <c r="F38" s="42">
        <f>ROUNDDOWN(F12*0.385,0)</f>
        <v>2910</v>
      </c>
      <c r="G38" s="42">
        <f>ROUND(G12*0.385,0)</f>
        <v>2515</v>
      </c>
      <c r="H38" s="42">
        <f>ROUND(H12*0.385,0)</f>
        <v>2210</v>
      </c>
      <c r="I38" s="131"/>
      <c r="J38" s="115">
        <f>SUM(D38:H38)</f>
        <v>14542</v>
      </c>
    </row>
    <row r="39" spans="2:10" x14ac:dyDescent="0.25">
      <c r="B39" s="69"/>
      <c r="C39" s="45" t="s">
        <v>21</v>
      </c>
      <c r="D39" s="133">
        <f>SUM(D38:D38)</f>
        <v>3403</v>
      </c>
      <c r="E39" s="133">
        <f>SUM(E38:E38)</f>
        <v>3504</v>
      </c>
      <c r="F39" s="133">
        <f>SUM(F38:F38)</f>
        <v>2910</v>
      </c>
      <c r="G39" s="133">
        <f>SUM(G38:G38)</f>
        <v>2515</v>
      </c>
      <c r="H39" s="133">
        <f>SUM(H38:H38)</f>
        <v>2210</v>
      </c>
      <c r="I39" s="131"/>
      <c r="J39" s="133">
        <f t="shared" ref="J39" si="5">SUM(D39:H39)</f>
        <v>14542</v>
      </c>
    </row>
    <row r="40" spans="2:10" ht="15.75" thickBot="1" x14ac:dyDescent="0.3">
      <c r="B40" s="54"/>
      <c r="C40" s="44"/>
      <c r="D40" s="131"/>
      <c r="E40" s="131"/>
      <c r="F40" s="131"/>
      <c r="G40" s="131"/>
      <c r="H40" s="131"/>
      <c r="I40" s="131"/>
      <c r="J40" s="131" t="s">
        <v>20</v>
      </c>
    </row>
    <row r="41" spans="2:10" s="1" customFormat="1" ht="30.75" thickBot="1" x14ac:dyDescent="0.3">
      <c r="B41" s="51" t="s">
        <v>22</v>
      </c>
      <c r="C41" s="51"/>
      <c r="D41" s="52">
        <f t="shared" ref="D41:J41" si="6">SUM(D39,D35)</f>
        <v>2516821</v>
      </c>
      <c r="E41" s="52">
        <f t="shared" si="6"/>
        <v>9017310</v>
      </c>
      <c r="F41" s="52">
        <f t="shared" si="6"/>
        <v>9514449</v>
      </c>
      <c r="G41" s="52">
        <f t="shared" si="6"/>
        <v>12543</v>
      </c>
      <c r="H41" s="52">
        <f t="shared" si="6"/>
        <v>11075</v>
      </c>
      <c r="I41" s="44">
        <f t="shared" si="6"/>
        <v>0</v>
      </c>
      <c r="J41" s="52">
        <f t="shared" si="6"/>
        <v>21072198</v>
      </c>
    </row>
    <row r="42" spans="2:10" x14ac:dyDescent="0.25">
      <c r="B42" s="6"/>
    </row>
    <row r="43" spans="2:10" x14ac:dyDescent="0.25">
      <c r="B43" s="6"/>
    </row>
    <row r="44" spans="2:10" x14ac:dyDescent="0.25">
      <c r="B44" s="6"/>
    </row>
    <row r="45" spans="2:10" x14ac:dyDescent="0.25">
      <c r="B45" s="6"/>
    </row>
    <row r="46" spans="2:10" x14ac:dyDescent="0.25">
      <c r="B46" s="6"/>
    </row>
    <row r="47" spans="2:10" x14ac:dyDescent="0.25">
      <c r="B47" s="6"/>
    </row>
    <row r="48" spans="2:10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</sheetData>
  <pageMargins left="0.7" right="0.7" top="0.75" bottom="0.75" header="0.3" footer="0.3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37d64fd-f710-4eac-8c9f-fc6a0a630510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_activity xmlns="b7217c91-a7e8-40ac-8f20-7b17286a561e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DA39EB06AD243AB0576158647F752" ma:contentTypeVersion="14" ma:contentTypeDescription="Create a new document." ma:contentTypeScope="" ma:versionID="943ec7a1a4240985c1372b86b1c035ff">
  <xsd:schema xmlns:xsd="http://www.w3.org/2001/XMLSchema" xmlns:xs="http://www.w3.org/2001/XMLSchema" xmlns:p="http://schemas.microsoft.com/office/2006/metadata/properties" xmlns:ns3="b7217c91-a7e8-40ac-8f20-7b17286a561e" xmlns:ns4="d37d64fd-f710-4eac-8c9f-fc6a0a630510" targetNamespace="http://schemas.microsoft.com/office/2006/metadata/properties" ma:root="true" ma:fieldsID="a7fad2b607ce356dffbec3ddf5c2b0fb" ns3:_="" ns4:_="">
    <xsd:import namespace="b7217c91-a7e8-40ac-8f20-7b17286a561e"/>
    <xsd:import namespace="d37d64fd-f710-4eac-8c9f-fc6a0a63051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217c91-a7e8-40ac-8f20-7b17286a56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d64fd-f710-4eac-8c9f-fc6a0a63051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d37d64fd-f710-4eac-8c9f-fc6a0a630510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b7217c91-a7e8-40ac-8f20-7b17286a561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44244A7-63B0-427B-A9DE-A1D1B07B3D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217c91-a7e8-40ac-8f20-7b17286a561e"/>
    <ds:schemaRef ds:uri="d37d64fd-f710-4eac-8c9f-fc6a0a6305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Overview</vt:lpstr>
      <vt:lpstr>Consolidated Budget</vt:lpstr>
      <vt:lpstr>Measure 1 Budget</vt:lpstr>
      <vt:lpstr>Measure 2 Budget</vt:lpstr>
      <vt:lpstr>Project 1 VDOT</vt:lpstr>
      <vt:lpstr>Project 2 DRPT</vt:lpstr>
      <vt:lpstr>Project 3 VA Energy</vt:lpstr>
      <vt:lpstr>Project 4 VPA</vt:lpstr>
      <vt:lpstr>Project 4a VPA</vt:lpstr>
      <vt:lpstr>Project 4b VPA</vt:lpstr>
      <vt:lpstr>Project 4c VPA</vt:lpstr>
      <vt:lpstr>DEQ Staff Costs</vt:lpstr>
      <vt:lpstr>Travel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2024-04-01T15:34:09Z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0x010100B7FDA39EB06AD243AB0576158647F752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